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showInkAnnotation="0" codeName="EstaPastaDeTrabalho"/>
  <mc:AlternateContent xmlns:mc="http://schemas.openxmlformats.org/markup-compatibility/2006">
    <mc:Choice Requires="x15">
      <x15ac:absPath xmlns:x15ac="http://schemas.microsoft.com/office/spreadsheetml/2010/11/ac" url="\\arqsv0\IIRS_\Projetos_IIRS_RESTORE\3.PROADI_Saúde_Mental_APS_Triênio_2021_2023\Eixo Processos Operacionais\6. Etapa Operacional 4\TUTORIA\OFICINAS TUTORIAIS\Oficina Tutorial 4.3\"/>
    </mc:Choice>
  </mc:AlternateContent>
  <xr:revisionPtr revIDLastSave="0" documentId="13_ncr:1_{3A7268DD-4E66-43AC-A2D2-7B6DE336D3F0}" xr6:coauthVersionLast="47" xr6:coauthVersionMax="47" xr10:uidLastSave="{00000000-0000-0000-0000-000000000000}"/>
  <bookViews>
    <workbookView xWindow="-120" yWindow="-120" windowWidth="20730" windowHeight="11160" tabRatio="799" xr2:uid="{00000000-000D-0000-FFFF-FFFF00000000}"/>
  </bookViews>
  <sheets>
    <sheet name="TUTORIAL" sheetId="38" r:id="rId1"/>
    <sheet name="EQUIPE" sheetId="49" r:id="rId2"/>
    <sheet name="CADASTRO" sheetId="19" r:id="rId3"/>
    <sheet name=" POP. ALVO" sheetId="40" r:id="rId4"/>
    <sheet name="S. MENTAL" sheetId="42" r:id="rId5"/>
    <sheet name="CH Equipe" sheetId="16" r:id="rId6"/>
    <sheet name="AGENDA" sheetId="48" r:id="rId7"/>
    <sheet name="Escala" sheetId="52" r:id="rId8"/>
    <sheet name="Eq Amarela" sheetId="51" r:id="rId9"/>
    <sheet name="GESTANTE" sheetId="50" state="hidden" r:id="rId10"/>
    <sheet name="CRIANÇA" sheetId="47" state="hidden" r:id="rId11"/>
    <sheet name="DIABÉTICO" sheetId="46" state="hidden" r:id="rId12"/>
    <sheet name="HIPERTENSO" sheetId="45" state="hidden" r:id="rId13"/>
    <sheet name="IDOSO" sheetId="44" state="hidden" r:id="rId14"/>
    <sheet name="MULHER" sheetId="43" state="hidden" r:id="rId15"/>
    <sheet name="PREVENÇÃO" sheetId="39" state="hidden" r:id="rId16"/>
    <sheet name="AAE" sheetId="28" r:id="rId17"/>
    <sheet name="Ap.Diag." sheetId="26" r:id="rId18"/>
  </sheets>
  <externalReferences>
    <externalReference r:id="rId19"/>
  </externalReferences>
  <definedNames>
    <definedName name="_xlnm.Print_Area" localSheetId="16">AAE!$A$1:$BV$15</definedName>
    <definedName name="_xlnm.Print_Area" localSheetId="5">'CH Equipe'!$A$3:$CU$157</definedName>
    <definedName name="Criança_Programação">TUTORIAL!#REF!</definedName>
    <definedName name="_xlnm.Print_Titles" localSheetId="16">AAE!$3:$5</definedName>
    <definedName name="_xlnm.Print_Titles" localSheetId="17">'Ap.Diag.'!$1:$3</definedName>
    <definedName name="_xlnm.Print_Titles" localSheetId="5">'CH Equipe'!$3:$7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2" i="40" l="1"/>
  <c r="Z101" i="40"/>
  <c r="Z90" i="40"/>
  <c r="Z91" i="40"/>
  <c r="Z92" i="40"/>
  <c r="Z89" i="40"/>
  <c r="Q59" i="40"/>
  <c r="AA78" i="40"/>
  <c r="AA77" i="40"/>
  <c r="X78" i="40"/>
  <c r="X77" i="40"/>
  <c r="U78" i="40"/>
  <c r="U77" i="40"/>
  <c r="R78" i="40"/>
  <c r="R77" i="40"/>
  <c r="S73" i="40"/>
  <c r="Q58" i="40"/>
  <c r="Z10" i="40"/>
  <c r="Z11" i="40"/>
  <c r="Z9" i="40"/>
  <c r="AY119" i="16"/>
  <c r="AY117" i="16"/>
  <c r="AY118" i="16"/>
  <c r="AY116" i="16"/>
  <c r="AT119" i="16"/>
  <c r="BW102" i="48" s="1"/>
  <c r="AT117" i="16"/>
  <c r="AT118" i="16"/>
  <c r="AT116" i="16"/>
  <c r="U111" i="40"/>
  <c r="U109" i="40"/>
  <c r="P127" i="40"/>
  <c r="I127" i="40"/>
  <c r="L127" i="40" s="1"/>
  <c r="F127" i="40"/>
  <c r="N112" i="40"/>
  <c r="N111" i="40"/>
  <c r="N110" i="40"/>
  <c r="N114" i="40" s="1"/>
  <c r="N109" i="40"/>
  <c r="R109" i="40" s="1"/>
  <c r="BD118" i="16"/>
  <c r="BW82" i="48" s="1"/>
  <c r="BD117" i="16"/>
  <c r="BW61" i="48" s="1"/>
  <c r="BD116" i="16"/>
  <c r="BW31" i="48" s="1"/>
  <c r="BW29" i="48"/>
  <c r="BD119" i="16"/>
  <c r="BW104" i="48" s="1"/>
  <c r="BJ72" i="16"/>
  <c r="BS72" i="16"/>
  <c r="AH72" i="16"/>
  <c r="X72" i="16"/>
  <c r="O72" i="16"/>
  <c r="U114" i="40"/>
  <c r="X74" i="16" s="1"/>
  <c r="U113" i="40"/>
  <c r="U112" i="40"/>
  <c r="AQ72" i="16" s="1"/>
  <c r="BJ71" i="16"/>
  <c r="U110" i="40"/>
  <c r="W12" i="50"/>
  <c r="W11" i="50"/>
  <c r="W10" i="50"/>
  <c r="M59" i="39"/>
  <c r="M58" i="39"/>
  <c r="M57" i="39"/>
  <c r="M56" i="39"/>
  <c r="M55" i="39"/>
  <c r="F69" i="39"/>
  <c r="F68" i="39"/>
  <c r="F67" i="39"/>
  <c r="F66" i="39"/>
  <c r="F65" i="39"/>
  <c r="Y24" i="46"/>
  <c r="BW80" i="48"/>
  <c r="BW59" i="48"/>
  <c r="Y119" i="16"/>
  <c r="Y118" i="16"/>
  <c r="Y117" i="16"/>
  <c r="Y116" i="16"/>
  <c r="O119" i="16"/>
  <c r="AI119" i="16" s="1"/>
  <c r="O118" i="16"/>
  <c r="AI118" i="16" s="1"/>
  <c r="O117" i="16"/>
  <c r="AI117" i="16" s="1"/>
  <c r="O116" i="16"/>
  <c r="AI116" i="16" s="1"/>
  <c r="N102" i="40"/>
  <c r="N101" i="40"/>
  <c r="T101" i="40" s="1"/>
  <c r="T54" i="40"/>
  <c r="N10" i="50"/>
  <c r="T10" i="50" s="1"/>
  <c r="N9" i="40"/>
  <c r="T9" i="40" s="1"/>
  <c r="N10" i="40"/>
  <c r="M17" i="50" s="1"/>
  <c r="F28" i="45"/>
  <c r="G27" i="46"/>
  <c r="S46" i="26"/>
  <c r="S47" i="26"/>
  <c r="S48" i="26"/>
  <c r="S49" i="26"/>
  <c r="O46" i="26"/>
  <c r="O47" i="26"/>
  <c r="O48" i="26"/>
  <c r="AA48" i="26" s="1"/>
  <c r="O49" i="26"/>
  <c r="S40" i="26"/>
  <c r="O40" i="26"/>
  <c r="CU104" i="48"/>
  <c r="CU102" i="48"/>
  <c r="CU100" i="48"/>
  <c r="CU98" i="48"/>
  <c r="CU82" i="48"/>
  <c r="CU80" i="48"/>
  <c r="CU78" i="48"/>
  <c r="CU76" i="48"/>
  <c r="CU61" i="48"/>
  <c r="CU59" i="48"/>
  <c r="CU57" i="48"/>
  <c r="CU55" i="48"/>
  <c r="CU31" i="48"/>
  <c r="CU29" i="48"/>
  <c r="CU27" i="48"/>
  <c r="CU25" i="48"/>
  <c r="AH67" i="16"/>
  <c r="AH66" i="16"/>
  <c r="O67" i="16"/>
  <c r="O66" i="16"/>
  <c r="U41" i="26"/>
  <c r="U49" i="26"/>
  <c r="U48" i="26"/>
  <c r="U46" i="26"/>
  <c r="BK21" i="28"/>
  <c r="BK19" i="28"/>
  <c r="K36" i="16" a="1"/>
  <c r="K36" i="16"/>
  <c r="U15" i="43"/>
  <c r="X7" i="26" s="1"/>
  <c r="X41" i="26" s="1"/>
  <c r="U11" i="43"/>
  <c r="AA11" i="43"/>
  <c r="S9" i="26"/>
  <c r="O9" i="26"/>
  <c r="S35" i="26"/>
  <c r="CC99" i="16"/>
  <c r="BD66" i="48" s="1"/>
  <c r="BD71" i="48" s="1"/>
  <c r="CC100" i="16"/>
  <c r="BS99" i="16"/>
  <c r="BD109" i="48" s="1"/>
  <c r="BJ99" i="16"/>
  <c r="BJ100" i="16" s="1"/>
  <c r="BD87" i="48"/>
  <c r="BD94" i="48" s="1"/>
  <c r="AZ99" i="16"/>
  <c r="BD47" i="48" s="1"/>
  <c r="AQ99" i="16"/>
  <c r="AQ100" i="16" s="1"/>
  <c r="AH99" i="16"/>
  <c r="AH100" i="16" s="1"/>
  <c r="X99" i="16"/>
  <c r="BD8" i="48" s="1"/>
  <c r="O99" i="16"/>
  <c r="BD7" i="48" s="1"/>
  <c r="CC87" i="16"/>
  <c r="AZ87" i="16"/>
  <c r="BJ87" i="16"/>
  <c r="AQ87" i="16"/>
  <c r="AH87" i="16"/>
  <c r="O87" i="16"/>
  <c r="AZ68" i="16"/>
  <c r="BJ68" i="16"/>
  <c r="BN94" i="48" s="1"/>
  <c r="BW94" i="48" s="1"/>
  <c r="CC68" i="16"/>
  <c r="BN73" i="48"/>
  <c r="BW73" i="48" s="1"/>
  <c r="BS68" i="16"/>
  <c r="AZ61" i="16"/>
  <c r="X87" i="16"/>
  <c r="AQ68" i="16"/>
  <c r="BN51" i="48" s="1"/>
  <c r="BW51" i="48" s="1"/>
  <c r="I10" i="26"/>
  <c r="I11" i="26"/>
  <c r="I12" i="26"/>
  <c r="I13" i="26"/>
  <c r="I14" i="26"/>
  <c r="I15" i="26"/>
  <c r="I16" i="26"/>
  <c r="I17" i="26"/>
  <c r="C18" i="26"/>
  <c r="I18" i="26"/>
  <c r="I20" i="26"/>
  <c r="I21" i="26"/>
  <c r="I22" i="26"/>
  <c r="I23" i="26"/>
  <c r="I24" i="26"/>
  <c r="I25" i="26"/>
  <c r="I26" i="26"/>
  <c r="I27" i="26"/>
  <c r="I28" i="26"/>
  <c r="I29" i="26"/>
  <c r="I30" i="26"/>
  <c r="I31" i="26"/>
  <c r="I32" i="26"/>
  <c r="I33" i="26"/>
  <c r="I34" i="26"/>
  <c r="I35" i="26"/>
  <c r="I36" i="26"/>
  <c r="I37" i="26"/>
  <c r="I38" i="26"/>
  <c r="I39" i="26"/>
  <c r="I41" i="26"/>
  <c r="I42" i="26"/>
  <c r="I43" i="26"/>
  <c r="I44" i="26"/>
  <c r="I45" i="26"/>
  <c r="AZ14" i="16"/>
  <c r="O19" i="16"/>
  <c r="AH19" i="16"/>
  <c r="AZ19" i="16"/>
  <c r="BJ19" i="16"/>
  <c r="BN88" i="48" s="1"/>
  <c r="BW88" i="48" s="1"/>
  <c r="CC19" i="16"/>
  <c r="BN67" i="48"/>
  <c r="BW67" i="48" s="1"/>
  <c r="AZ32" i="16"/>
  <c r="AZ39" i="16"/>
  <c r="BS7" i="19"/>
  <c r="BS8" i="19"/>
  <c r="T22" i="47" s="1"/>
  <c r="Z22" i="47" s="1"/>
  <c r="BS9" i="19"/>
  <c r="T23" i="47" s="1"/>
  <c r="Z23" i="47" s="1"/>
  <c r="T33" i="40"/>
  <c r="Z33" i="40" s="1"/>
  <c r="BS10" i="19"/>
  <c r="AU11" i="19"/>
  <c r="BG11" i="19"/>
  <c r="BS13" i="19"/>
  <c r="BS14" i="19"/>
  <c r="BS15" i="19" s="1"/>
  <c r="AU15" i="19"/>
  <c r="K50" i="39" s="1"/>
  <c r="J59" i="39" s="1"/>
  <c r="BG15" i="19"/>
  <c r="BS17" i="19"/>
  <c r="AK67" i="40" s="1"/>
  <c r="AL67" i="40" s="1"/>
  <c r="AO67" i="40" s="1"/>
  <c r="W155" i="40"/>
  <c r="W41" i="39" s="1"/>
  <c r="BS18" i="19"/>
  <c r="BS19" i="19"/>
  <c r="W156" i="40" s="1"/>
  <c r="W42" i="39" s="1"/>
  <c r="BS20" i="19"/>
  <c r="K157" i="40" s="1"/>
  <c r="K43" i="39" s="1"/>
  <c r="BS21" i="19"/>
  <c r="BS22" i="19"/>
  <c r="BS23" i="19"/>
  <c r="K158" i="40" s="1"/>
  <c r="K44" i="39" s="1"/>
  <c r="BS24" i="19"/>
  <c r="AU25" i="19"/>
  <c r="BG25" i="19"/>
  <c r="BS27" i="19"/>
  <c r="BS28" i="19"/>
  <c r="BS29" i="19"/>
  <c r="BS30" i="19"/>
  <c r="BS31" i="19"/>
  <c r="K161" i="40" s="1"/>
  <c r="K47" i="39" s="1"/>
  <c r="AU32" i="19"/>
  <c r="BG32" i="19"/>
  <c r="S36" i="26"/>
  <c r="O42" i="26"/>
  <c r="O11" i="26"/>
  <c r="O38" i="26"/>
  <c r="S12" i="26"/>
  <c r="S41" i="26"/>
  <c r="S11" i="26"/>
  <c r="S39" i="26"/>
  <c r="S34" i="26"/>
  <c r="S38" i="26"/>
  <c r="S33" i="26"/>
  <c r="S13" i="26"/>
  <c r="S10" i="26"/>
  <c r="O39" i="26"/>
  <c r="O34" i="26"/>
  <c r="O12" i="26"/>
  <c r="O36" i="26"/>
  <c r="O14" i="26"/>
  <c r="O10" i="26"/>
  <c r="O35" i="26"/>
  <c r="O13" i="26"/>
  <c r="O41" i="26"/>
  <c r="O33" i="26"/>
  <c r="S42" i="26"/>
  <c r="S14" i="26"/>
  <c r="O45" i="26"/>
  <c r="O22" i="26"/>
  <c r="O24" i="26"/>
  <c r="O23" i="26"/>
  <c r="S20" i="26"/>
  <c r="S31" i="26"/>
  <c r="S29" i="26"/>
  <c r="S18" i="26"/>
  <c r="S17" i="26"/>
  <c r="S30" i="26"/>
  <c r="S28" i="26"/>
  <c r="S15" i="26"/>
  <c r="Y7" i="26"/>
  <c r="X46" i="26" s="1"/>
  <c r="AL13" i="45"/>
  <c r="AM13" i="45" s="1"/>
  <c r="O65" i="16"/>
  <c r="O68" i="16" s="1"/>
  <c r="BN20" i="48" s="1"/>
  <c r="BW20" i="48" s="1"/>
  <c r="AL13" i="46"/>
  <c r="AM13" i="46" s="1"/>
  <c r="AQ13" i="46" s="1"/>
  <c r="AL16" i="46"/>
  <c r="AM16" i="46" s="1"/>
  <c r="F7" i="26"/>
  <c r="N11" i="40"/>
  <c r="T11" i="40" s="1"/>
  <c r="W158" i="40"/>
  <c r="W44" i="39" s="1"/>
  <c r="Q155" i="40"/>
  <c r="Q41" i="39"/>
  <c r="AK70" i="40"/>
  <c r="AL70" i="40"/>
  <c r="AN70" i="40" s="1"/>
  <c r="Z155" i="40"/>
  <c r="Z41" i="39" s="1"/>
  <c r="U13" i="43"/>
  <c r="X65" i="16" s="1"/>
  <c r="Q158" i="40"/>
  <c r="Q44" i="39" s="1"/>
  <c r="AK49" i="40"/>
  <c r="AL49" i="40" s="1"/>
  <c r="AN49" i="40" s="1"/>
  <c r="AK52" i="40"/>
  <c r="AL52" i="40" s="1"/>
  <c r="AO52" i="40" s="1"/>
  <c r="T155" i="40"/>
  <c r="T41" i="39" s="1"/>
  <c r="T158" i="40"/>
  <c r="T44" i="39"/>
  <c r="K155" i="40"/>
  <c r="K41" i="39" s="1"/>
  <c r="Z158" i="40"/>
  <c r="Z44" i="39" s="1"/>
  <c r="N155" i="40"/>
  <c r="N41" i="39" s="1"/>
  <c r="D31" i="40"/>
  <c r="I17" i="50"/>
  <c r="X17" i="16" s="1"/>
  <c r="X19" i="16" s="1"/>
  <c r="BN9" i="48" s="1"/>
  <c r="BW9" i="48" s="1"/>
  <c r="CF9" i="48" s="1"/>
  <c r="CH9" i="48" s="1"/>
  <c r="CU9" i="48" s="1"/>
  <c r="Q157" i="40"/>
  <c r="Q43" i="39" s="1"/>
  <c r="Z156" i="40"/>
  <c r="Z42" i="39" s="1"/>
  <c r="AK68" i="40"/>
  <c r="AL68" i="40" s="1"/>
  <c r="AN68" i="40" s="1"/>
  <c r="AL14" i="46"/>
  <c r="AM14" i="46"/>
  <c r="U14" i="43"/>
  <c r="U12" i="43"/>
  <c r="AL16" i="45"/>
  <c r="AM16" i="45" s="1"/>
  <c r="AN16" i="45" s="1"/>
  <c r="BS25" i="19"/>
  <c r="AP13" i="45"/>
  <c r="AO13" i="45"/>
  <c r="AN13" i="45"/>
  <c r="D33" i="40"/>
  <c r="T32" i="40"/>
  <c r="Z32" i="40" s="1"/>
  <c r="BK29" i="28"/>
  <c r="AA14" i="43"/>
  <c r="BK27" i="28"/>
  <c r="AA12" i="43"/>
  <c r="BK25" i="28"/>
  <c r="AO16" i="45"/>
  <c r="T10" i="40"/>
  <c r="AP49" i="40"/>
  <c r="T102" i="40"/>
  <c r="BD89" i="48"/>
  <c r="BD69" i="48"/>
  <c r="BN74" i="48"/>
  <c r="BW74" i="48" s="1"/>
  <c r="AN67" i="40"/>
  <c r="V40" i="40"/>
  <c r="V30" i="47"/>
  <c r="AZ100" i="16"/>
  <c r="BD70" i="48"/>
  <c r="BD73" i="48"/>
  <c r="N113" i="40" l="1"/>
  <c r="T127" i="40"/>
  <c r="AD127" i="40" s="1"/>
  <c r="BJ73" i="16"/>
  <c r="X73" i="16"/>
  <c r="V127" i="40"/>
  <c r="M21" i="43"/>
  <c r="CC10" i="16"/>
  <c r="CC14" i="16" s="1"/>
  <c r="BN66" i="48" s="1"/>
  <c r="BW66" i="48" s="1"/>
  <c r="CF66" i="48" s="1"/>
  <c r="CH66" i="48" s="1"/>
  <c r="CU66" i="48" s="1"/>
  <c r="AQ73" i="16"/>
  <c r="X127" i="40"/>
  <c r="AA127" i="40"/>
  <c r="R111" i="40"/>
  <c r="AP16" i="46"/>
  <c r="AO16" i="46"/>
  <c r="AQ16" i="46"/>
  <c r="AN16" i="46"/>
  <c r="T24" i="47"/>
  <c r="Z24" i="47" s="1"/>
  <c r="D34" i="40"/>
  <c r="T34" i="40"/>
  <c r="Z34" i="40" s="1"/>
  <c r="W160" i="40"/>
  <c r="W46" i="39" s="1"/>
  <c r="Z160" i="40"/>
  <c r="Z46" i="39" s="1"/>
  <c r="Z159" i="40"/>
  <c r="Z45" i="39" s="1"/>
  <c r="K159" i="40"/>
  <c r="K45" i="39" s="1"/>
  <c r="AK53" i="40"/>
  <c r="AL53" i="40" s="1"/>
  <c r="V39" i="40"/>
  <c r="V29" i="47" s="1"/>
  <c r="W157" i="40"/>
  <c r="W43" i="39" s="1"/>
  <c r="AK71" i="40"/>
  <c r="AL71" i="40" s="1"/>
  <c r="AL17" i="45"/>
  <c r="AM17" i="45" s="1"/>
  <c r="D21" i="47"/>
  <c r="G28" i="47" s="1"/>
  <c r="BS11" i="19"/>
  <c r="V20" i="40" s="1"/>
  <c r="T21" i="47"/>
  <c r="Z21" i="47" s="1"/>
  <c r="AM52" i="40"/>
  <c r="D32" i="40"/>
  <c r="G39" i="40" s="1"/>
  <c r="AU34" i="19"/>
  <c r="AL15" i="46"/>
  <c r="AM15" i="46" s="1"/>
  <c r="AN15" i="46" s="1"/>
  <c r="AO13" i="46"/>
  <c r="H55" i="16"/>
  <c r="D24" i="47"/>
  <c r="G40" i="40"/>
  <c r="J33" i="40"/>
  <c r="BJ74" i="16"/>
  <c r="O74" i="16"/>
  <c r="AQ74" i="16"/>
  <c r="BS74" i="16"/>
  <c r="T161" i="40"/>
  <c r="T47" i="39" s="1"/>
  <c r="U47" i="26"/>
  <c r="AA47" i="26" s="1"/>
  <c r="BD37" i="48"/>
  <c r="Q21" i="43"/>
  <c r="AP16" i="45"/>
  <c r="D22" i="47"/>
  <c r="G29" i="47" s="1"/>
  <c r="AK51" i="40"/>
  <c r="AL51" i="40" s="1"/>
  <c r="AN13" i="46"/>
  <c r="AP13" i="46"/>
  <c r="N11" i="50"/>
  <c r="T31" i="40"/>
  <c r="AA13" i="43"/>
  <c r="AL18" i="45"/>
  <c r="AM18" i="45" s="1"/>
  <c r="AN18" i="45" s="1"/>
  <c r="AF14" i="45" s="1"/>
  <c r="N161" i="40"/>
  <c r="N47" i="39" s="1"/>
  <c r="AL19" i="45"/>
  <c r="AM19" i="45" s="1"/>
  <c r="AK55" i="40"/>
  <c r="AL55" i="40" s="1"/>
  <c r="Z161" i="40"/>
  <c r="Z47" i="39" s="1"/>
  <c r="AL19" i="46"/>
  <c r="AM19" i="46" s="1"/>
  <c r="W159" i="40"/>
  <c r="W45" i="39" s="1"/>
  <c r="K164" i="40"/>
  <c r="J172" i="40" s="1"/>
  <c r="AA49" i="26"/>
  <c r="N12" i="50"/>
  <c r="BK31" i="28"/>
  <c r="AH73" i="16"/>
  <c r="BS73" i="16"/>
  <c r="O73" i="16"/>
  <c r="O78" i="16" s="1"/>
  <c r="AH74" i="16"/>
  <c r="BS10" i="16"/>
  <c r="BS14" i="16" s="1"/>
  <c r="D23" i="47"/>
  <c r="N158" i="40"/>
  <c r="N44" i="39" s="1"/>
  <c r="BG34" i="19"/>
  <c r="BD12" i="48"/>
  <c r="BD21" i="48" s="1"/>
  <c r="BD16" i="48"/>
  <c r="BD36" i="48"/>
  <c r="O100" i="16"/>
  <c r="BD68" i="48"/>
  <c r="BD88" i="48"/>
  <c r="BD96" i="48" s="1"/>
  <c r="BS100" i="16"/>
  <c r="AA46" i="26"/>
  <c r="BD38" i="48"/>
  <c r="BD48" i="48" s="1"/>
  <c r="BD91" i="48"/>
  <c r="BD14" i="48"/>
  <c r="BD23" i="48" s="1"/>
  <c r="O71" i="16"/>
  <c r="BS71" i="16"/>
  <c r="AQ71" i="16"/>
  <c r="AH71" i="16"/>
  <c r="X71" i="16"/>
  <c r="BD9" i="48"/>
  <c r="BD18" i="48" s="1"/>
  <c r="BD27" i="48"/>
  <c r="BD15" i="48"/>
  <c r="BD13" i="48"/>
  <c r="BD22" i="48" s="1"/>
  <c r="BD11" i="48"/>
  <c r="BD20" i="48" s="1"/>
  <c r="BD17" i="48"/>
  <c r="BD42" i="48"/>
  <c r="BD52" i="48" s="1"/>
  <c r="BD57" i="48"/>
  <c r="BD92" i="48"/>
  <c r="BD46" i="48"/>
  <c r="BD95" i="48"/>
  <c r="BD10" i="48"/>
  <c r="BD19" i="48" s="1"/>
  <c r="BD67" i="48"/>
  <c r="BD72" i="48" s="1"/>
  <c r="BD78" i="48"/>
  <c r="X100" i="16"/>
  <c r="BD90" i="48"/>
  <c r="BD74" i="48"/>
  <c r="AQ11" i="16"/>
  <c r="X11" i="16"/>
  <c r="F34" i="26"/>
  <c r="AA34" i="26" s="1"/>
  <c r="F12" i="26"/>
  <c r="AA12" i="26" s="1"/>
  <c r="F13" i="26"/>
  <c r="AA13" i="26" s="1"/>
  <c r="F35" i="26"/>
  <c r="AA35" i="26" s="1"/>
  <c r="F36" i="26"/>
  <c r="AA36" i="26" s="1"/>
  <c r="F33" i="26"/>
  <c r="AA33" i="26" s="1"/>
  <c r="F14" i="26"/>
  <c r="AA14" i="26" s="1"/>
  <c r="F16" i="26"/>
  <c r="F37" i="26"/>
  <c r="F42" i="26"/>
  <c r="AA42" i="26" s="1"/>
  <c r="F11" i="26"/>
  <c r="AA11" i="26" s="1"/>
  <c r="F39" i="26"/>
  <c r="AA39" i="26" s="1"/>
  <c r="F10" i="26"/>
  <c r="F18" i="26"/>
  <c r="F41" i="26"/>
  <c r="AA41" i="26" s="1"/>
  <c r="F40" i="26"/>
  <c r="AA40" i="26" s="1"/>
  <c r="F38" i="26"/>
  <c r="AA38" i="26" s="1"/>
  <c r="AM55" i="40"/>
  <c r="AN51" i="40"/>
  <c r="AO55" i="40"/>
  <c r="AM67" i="40"/>
  <c r="AQ17" i="16"/>
  <c r="AQ19" i="16" s="1"/>
  <c r="BN38" i="48" s="1"/>
  <c r="BW38" i="48" s="1"/>
  <c r="AO51" i="40"/>
  <c r="AM49" i="40"/>
  <c r="BJ10" i="16"/>
  <c r="BJ14" i="16" s="1"/>
  <c r="BN87" i="48" s="1"/>
  <c r="BW87" i="48" s="1"/>
  <c r="CF87" i="48" s="1"/>
  <c r="CH87" i="48" s="1"/>
  <c r="CU87" i="48" s="1"/>
  <c r="P59" i="39"/>
  <c r="AH10" i="16"/>
  <c r="AH14" i="16" s="1"/>
  <c r="BN36" i="48" s="1"/>
  <c r="BW36" i="48" s="1"/>
  <c r="CF36" i="48" s="1"/>
  <c r="CH36" i="48" s="1"/>
  <c r="CU36" i="48" s="1"/>
  <c r="AN52" i="40"/>
  <c r="AO49" i="40"/>
  <c r="AP52" i="40"/>
  <c r="J34" i="40"/>
  <c r="N40" i="40"/>
  <c r="N30" i="47" s="1"/>
  <c r="O10" i="16"/>
  <c r="O14" i="16" s="1"/>
  <c r="BN7" i="48" s="1"/>
  <c r="BW7" i="48" s="1"/>
  <c r="CF7" i="48" s="1"/>
  <c r="CH7" i="48" s="1"/>
  <c r="CU7" i="48" s="1"/>
  <c r="G38" i="40"/>
  <c r="Z10" i="50"/>
  <c r="AN19" i="46"/>
  <c r="AQ19" i="46"/>
  <c r="AO19" i="46"/>
  <c r="AP19" i="46"/>
  <c r="AP19" i="45"/>
  <c r="AN19" i="45"/>
  <c r="AO19" i="45"/>
  <c r="AO53" i="40"/>
  <c r="AP53" i="40"/>
  <c r="AN53" i="40"/>
  <c r="AM53" i="40"/>
  <c r="AM68" i="40"/>
  <c r="AO68" i="40"/>
  <c r="AO15" i="46"/>
  <c r="AQ15" i="46"/>
  <c r="R41" i="40"/>
  <c r="R31" i="47" s="1"/>
  <c r="AL14" i="45"/>
  <c r="AK50" i="40"/>
  <c r="N156" i="40"/>
  <c r="Q156" i="40"/>
  <c r="T156" i="40"/>
  <c r="K156" i="40"/>
  <c r="K42" i="39" s="1"/>
  <c r="J22" i="47"/>
  <c r="R38" i="40"/>
  <c r="N38" i="40"/>
  <c r="AP18" i="45"/>
  <c r="Z14" i="45" s="1"/>
  <c r="D25" i="45" s="1"/>
  <c r="J25" i="45" s="1"/>
  <c r="AK69" i="40"/>
  <c r="N157" i="40"/>
  <c r="N43" i="39" s="1"/>
  <c r="Z157" i="40"/>
  <c r="AL15" i="45"/>
  <c r="AM15" i="45" s="1"/>
  <c r="T157" i="40"/>
  <c r="T43" i="39" s="1"/>
  <c r="P172" i="40"/>
  <c r="V172" i="40"/>
  <c r="W59" i="39" s="1"/>
  <c r="BS85" i="16" s="1"/>
  <c r="AH64" i="16"/>
  <c r="AH68" i="16" s="1"/>
  <c r="BN50" i="48" s="1"/>
  <c r="BW50" i="48" s="1"/>
  <c r="AA15" i="43"/>
  <c r="U16" i="43"/>
  <c r="AQ14" i="46"/>
  <c r="AP14" i="46"/>
  <c r="AN14" i="46"/>
  <c r="AO14" i="46"/>
  <c r="J31" i="40"/>
  <c r="AO70" i="40"/>
  <c r="AM70" i="40"/>
  <c r="N160" i="40"/>
  <c r="N46" i="39" s="1"/>
  <c r="Q160" i="40"/>
  <c r="Q46" i="39" s="1"/>
  <c r="T160" i="40"/>
  <c r="T46" i="39" s="1"/>
  <c r="AK54" i="40"/>
  <c r="AL54" i="40" s="1"/>
  <c r="K160" i="40"/>
  <c r="K46" i="39" s="1"/>
  <c r="AK72" i="40"/>
  <c r="AL72" i="40" s="1"/>
  <c r="AZ55" i="16"/>
  <c r="I58" i="16"/>
  <c r="BS32" i="19"/>
  <c r="AL18" i="46"/>
  <c r="AM18" i="46" s="1"/>
  <c r="R40" i="40"/>
  <c r="R30" i="47" s="1"/>
  <c r="AP15" i="46"/>
  <c r="K162" i="40"/>
  <c r="J168" i="40" s="1"/>
  <c r="T12" i="50"/>
  <c r="Z12" i="50"/>
  <c r="AK73" i="40"/>
  <c r="AL73" i="40" s="1"/>
  <c r="AL17" i="46"/>
  <c r="AM17" i="46" s="1"/>
  <c r="W161" i="40"/>
  <c r="W47" i="39" s="1"/>
  <c r="W48" i="39" s="1"/>
  <c r="Q161" i="40"/>
  <c r="Q47" i="39" s="1"/>
  <c r="T159" i="40"/>
  <c r="T45" i="39" s="1"/>
  <c r="Q159" i="40"/>
  <c r="Q45" i="39" s="1"/>
  <c r="N159" i="40"/>
  <c r="N45" i="39" s="1"/>
  <c r="BJ75" i="16" l="1"/>
  <c r="BJ76" i="16" s="1"/>
  <c r="X75" i="16"/>
  <c r="X76" i="16" s="1"/>
  <c r="X78" i="16"/>
  <c r="BN23" i="48" s="1"/>
  <c r="BW23" i="48" s="1"/>
  <c r="CC55" i="16"/>
  <c r="AH55" i="16"/>
  <c r="O55" i="16"/>
  <c r="BS55" i="16"/>
  <c r="H56" i="16"/>
  <c r="H57" i="16"/>
  <c r="AO18" i="45"/>
  <c r="AC14" i="45" s="1"/>
  <c r="D26" i="45" s="1"/>
  <c r="J26" i="45" s="1"/>
  <c r="J21" i="47"/>
  <c r="BN22" i="48"/>
  <c r="BW22" i="48" s="1"/>
  <c r="O75" i="16"/>
  <c r="O76" i="16" s="1"/>
  <c r="AN55" i="40"/>
  <c r="AP55" i="40"/>
  <c r="AO17" i="45"/>
  <c r="AN17" i="45"/>
  <c r="AP17" i="45"/>
  <c r="Q17" i="50"/>
  <c r="BK7" i="28"/>
  <c r="G41" i="40"/>
  <c r="BS78" i="16"/>
  <c r="BS75" i="16"/>
  <c r="BS76" i="16" s="1"/>
  <c r="R112" i="40"/>
  <c r="R113" i="40"/>
  <c r="R114" i="40"/>
  <c r="R110" i="40"/>
  <c r="G32" i="47"/>
  <c r="AH75" i="16"/>
  <c r="AH76" i="16" s="1"/>
  <c r="AH78" i="16"/>
  <c r="BN52" i="48" s="1"/>
  <c r="BW52" i="48" s="1"/>
  <c r="Z31" i="40"/>
  <c r="V38" i="40"/>
  <c r="AP51" i="40"/>
  <c r="AM51" i="40"/>
  <c r="BD44" i="48"/>
  <c r="BD40" i="48"/>
  <c r="BD50" i="48" s="1"/>
  <c r="AO71" i="40"/>
  <c r="AN71" i="40"/>
  <c r="AM71" i="40"/>
  <c r="G42" i="40"/>
  <c r="N39" i="40"/>
  <c r="N29" i="47" s="1"/>
  <c r="J32" i="40"/>
  <c r="R39" i="40"/>
  <c r="R29" i="47" s="1"/>
  <c r="V41" i="40"/>
  <c r="V31" i="47" s="1"/>
  <c r="N41" i="40"/>
  <c r="N31" i="47" s="1"/>
  <c r="AQ75" i="16"/>
  <c r="AQ76" i="16" s="1"/>
  <c r="AQ78" i="16"/>
  <c r="BN53" i="48" s="1"/>
  <c r="BW53" i="48" s="1"/>
  <c r="J23" i="47"/>
  <c r="G30" i="47"/>
  <c r="T11" i="50"/>
  <c r="Z11" i="50"/>
  <c r="G31" i="47"/>
  <c r="J24" i="47"/>
  <c r="V21" i="40"/>
  <c r="V22" i="40"/>
  <c r="BJ78" i="16"/>
  <c r="BN95" i="48" s="1"/>
  <c r="BW95" i="48" s="1"/>
  <c r="BD41" i="48"/>
  <c r="BD51" i="48" s="1"/>
  <c r="BD39" i="48"/>
  <c r="BD49" i="48" s="1"/>
  <c r="BD45" i="48"/>
  <c r="BD43" i="48"/>
  <c r="BD53" i="48" s="1"/>
  <c r="BD93" i="48"/>
  <c r="BJ30" i="16"/>
  <c r="BN90" i="48" s="1"/>
  <c r="BW90" i="48" s="1"/>
  <c r="CF90" i="48" s="1"/>
  <c r="CH90" i="48" s="1"/>
  <c r="CU90" i="48" s="1"/>
  <c r="BS28" i="16"/>
  <c r="AH28" i="16"/>
  <c r="BN41" i="48" s="1"/>
  <c r="BW41" i="48" s="1"/>
  <c r="CF41" i="48" s="1"/>
  <c r="CH41" i="48" s="1"/>
  <c r="CU41" i="48" s="1"/>
  <c r="O28" i="16"/>
  <c r="BN12" i="48" s="1"/>
  <c r="BW12" i="48" s="1"/>
  <c r="CF12" i="48" s="1"/>
  <c r="CH12" i="48" s="1"/>
  <c r="CU12" i="48" s="1"/>
  <c r="CC28" i="16"/>
  <c r="BN69" i="48" s="1"/>
  <c r="BW69" i="48" s="1"/>
  <c r="CF69" i="48" s="1"/>
  <c r="CH69" i="48" s="1"/>
  <c r="CU69" i="48" s="1"/>
  <c r="AC13" i="46"/>
  <c r="AO17" i="46"/>
  <c r="AQ17" i="46"/>
  <c r="AP17" i="46"/>
  <c r="AA13" i="46" s="1"/>
  <c r="AN17" i="46"/>
  <c r="AF13" i="46" s="1"/>
  <c r="AL20" i="46"/>
  <c r="AP18" i="46"/>
  <c r="AA14" i="46" s="1"/>
  <c r="AN18" i="46"/>
  <c r="AF14" i="46" s="1"/>
  <c r="AQ18" i="46"/>
  <c r="Y14" i="46" s="1"/>
  <c r="D25" i="46" s="1"/>
  <c r="J25" i="46" s="1"/>
  <c r="AO18" i="46"/>
  <c r="AC14" i="46" s="1"/>
  <c r="AO72" i="40"/>
  <c r="AM72" i="40"/>
  <c r="AN72" i="40"/>
  <c r="BK23" i="28"/>
  <c r="U17" i="43"/>
  <c r="AA17" i="43" s="1"/>
  <c r="AA16" i="43"/>
  <c r="X64" i="16"/>
  <c r="X68" i="16" s="1"/>
  <c r="BN21" i="48" s="1"/>
  <c r="BW21" i="48" s="1"/>
  <c r="N28" i="47"/>
  <c r="N42" i="40"/>
  <c r="N42" i="39"/>
  <c r="N48" i="39" s="1"/>
  <c r="N162" i="40"/>
  <c r="AM20" i="46"/>
  <c r="AO73" i="40"/>
  <c r="AN73" i="40"/>
  <c r="AM73" i="40"/>
  <c r="V168" i="40"/>
  <c r="W55" i="39" s="1"/>
  <c r="BS81" i="16" s="1"/>
  <c r="P168" i="40"/>
  <c r="N91" i="40"/>
  <c r="U11" i="44"/>
  <c r="N90" i="40"/>
  <c r="U13" i="44"/>
  <c r="BS34" i="19"/>
  <c r="CC32" i="19" s="1"/>
  <c r="U12" i="44"/>
  <c r="AA12" i="44" s="1"/>
  <c r="N92" i="40"/>
  <c r="N89" i="40"/>
  <c r="Y13" i="46"/>
  <c r="AL69" i="40"/>
  <c r="AK74" i="40"/>
  <c r="R28" i="47"/>
  <c r="R42" i="40"/>
  <c r="K48" i="39"/>
  <c r="J55" i="39" s="1"/>
  <c r="P55" i="39" s="1"/>
  <c r="AL50" i="40"/>
  <c r="AK56" i="40"/>
  <c r="BS58" i="16"/>
  <c r="I59" i="16"/>
  <c r="I60" i="16"/>
  <c r="AH58" i="16"/>
  <c r="CC58" i="16"/>
  <c r="O58" i="16"/>
  <c r="AN54" i="40"/>
  <c r="AO54" i="40"/>
  <c r="AM54" i="40"/>
  <c r="AP54" i="40"/>
  <c r="W162" i="40"/>
  <c r="AO15" i="45"/>
  <c r="AP15" i="45"/>
  <c r="AN15" i="45"/>
  <c r="T42" i="39"/>
  <c r="T48" i="39" s="1"/>
  <c r="J57" i="39" s="1"/>
  <c r="P57" i="39" s="1"/>
  <c r="T162" i="40"/>
  <c r="AM14" i="45"/>
  <c r="AL20" i="45"/>
  <c r="X29" i="16"/>
  <c r="AQ29" i="16"/>
  <c r="Z43" i="39"/>
  <c r="Z48" i="39" s="1"/>
  <c r="J58" i="39" s="1"/>
  <c r="P58" i="39" s="1"/>
  <c r="Z162" i="40"/>
  <c r="J171" i="40" s="1"/>
  <c r="Q42" i="39"/>
  <c r="Q48" i="39" s="1"/>
  <c r="Q162" i="40"/>
  <c r="U59" i="40" l="1"/>
  <c r="W24" i="46" s="1"/>
  <c r="BJ57" i="16"/>
  <c r="AQ57" i="16"/>
  <c r="X57" i="16"/>
  <c r="AQ30" i="16"/>
  <c r="X30" i="16"/>
  <c r="BN13" i="48" s="1"/>
  <c r="BW13" i="48" s="1"/>
  <c r="CF13" i="48" s="1"/>
  <c r="CH13" i="48" s="1"/>
  <c r="CU13" i="48" s="1"/>
  <c r="V28" i="47"/>
  <c r="V42" i="40"/>
  <c r="BK9" i="28"/>
  <c r="BN42" i="48"/>
  <c r="BW42" i="48" s="1"/>
  <c r="CF42" i="48" s="1"/>
  <c r="CH42" i="48" s="1"/>
  <c r="CU42" i="48" s="1"/>
  <c r="J56" i="39"/>
  <c r="P56" i="39" s="1"/>
  <c r="BK10" i="28"/>
  <c r="AQ12" i="16"/>
  <c r="AQ14" i="16" s="1"/>
  <c r="BN37" i="48" s="1"/>
  <c r="BW37" i="48" s="1"/>
  <c r="CF37" i="48" s="1"/>
  <c r="CH37" i="48" s="1"/>
  <c r="CU37" i="48" s="1"/>
  <c r="X12" i="16"/>
  <c r="X14" i="16" s="1"/>
  <c r="BN8" i="48" s="1"/>
  <c r="BW8" i="48" s="1"/>
  <c r="CF8" i="48" s="1"/>
  <c r="CH8" i="48" s="1"/>
  <c r="CU8" i="48" s="1"/>
  <c r="AQ56" i="16"/>
  <c r="X56" i="16"/>
  <c r="Q70" i="40"/>
  <c r="J170" i="40"/>
  <c r="V170" i="40" s="1"/>
  <c r="W57" i="39" s="1"/>
  <c r="BS83" i="16" s="1"/>
  <c r="J169" i="40"/>
  <c r="V169" i="40" s="1"/>
  <c r="W56" i="39" s="1"/>
  <c r="BS82" i="16" s="1"/>
  <c r="V24" i="45"/>
  <c r="AO69" i="40"/>
  <c r="AM69" i="40"/>
  <c r="AN69" i="40"/>
  <c r="AL74" i="40"/>
  <c r="Q22" i="44"/>
  <c r="T92" i="40"/>
  <c r="T90" i="40"/>
  <c r="M22" i="44"/>
  <c r="W70" i="40"/>
  <c r="P170" i="40"/>
  <c r="Q52" i="40"/>
  <c r="W52" i="40" s="1"/>
  <c r="S59" i="40"/>
  <c r="U24" i="46" s="1"/>
  <c r="AQ24" i="16"/>
  <c r="R32" i="47"/>
  <c r="X24" i="16"/>
  <c r="P171" i="40"/>
  <c r="V171" i="40"/>
  <c r="W58" i="39" s="1"/>
  <c r="BS84" i="16" s="1"/>
  <c r="AQ60" i="16"/>
  <c r="BJ60" i="16"/>
  <c r="X60" i="16"/>
  <c r="AP50" i="40"/>
  <c r="AN50" i="40"/>
  <c r="AM50" i="40"/>
  <c r="W58" i="40" s="1"/>
  <c r="Y23" i="46" s="1"/>
  <c r="AO50" i="40"/>
  <c r="AL56" i="40"/>
  <c r="T89" i="40"/>
  <c r="AA13" i="44"/>
  <c r="U14" i="44"/>
  <c r="U15" i="44"/>
  <c r="U16" i="44"/>
  <c r="O22" i="44"/>
  <c r="T91" i="40"/>
  <c r="Q71" i="40"/>
  <c r="W71" i="40" s="1"/>
  <c r="Y24" i="45"/>
  <c r="S24" i="46"/>
  <c r="Y59" i="40"/>
  <c r="AA24" i="46" s="1"/>
  <c r="X59" i="16"/>
  <c r="AQ59" i="16"/>
  <c r="AM20" i="45"/>
  <c r="AM21" i="45" s="1"/>
  <c r="AN14" i="45"/>
  <c r="AO14" i="45"/>
  <c r="AP14" i="45"/>
  <c r="Q53" i="40"/>
  <c r="W53" i="40" s="1"/>
  <c r="D23" i="46"/>
  <c r="AA11" i="44"/>
  <c r="G22" i="44"/>
  <c r="CC23" i="16"/>
  <c r="BS23" i="16"/>
  <c r="BS32" i="16" s="1"/>
  <c r="BJ23" i="16"/>
  <c r="AH23" i="16"/>
  <c r="O23" i="16"/>
  <c r="N32" i="47"/>
  <c r="J7" i="26"/>
  <c r="J9" i="26" s="1"/>
  <c r="AA9" i="26" s="1"/>
  <c r="D26" i="46"/>
  <c r="J26" i="46" s="1"/>
  <c r="CC7" i="19"/>
  <c r="CC14" i="19"/>
  <c r="CC17" i="19"/>
  <c r="CC27" i="19"/>
  <c r="CC29" i="19"/>
  <c r="CC21" i="19"/>
  <c r="CC30" i="19"/>
  <c r="CC8" i="19"/>
  <c r="CC19" i="19"/>
  <c r="CC10" i="19"/>
  <c r="CC25" i="19"/>
  <c r="CC24" i="19"/>
  <c r="CC22" i="19"/>
  <c r="CC13" i="19"/>
  <c r="CC31" i="19"/>
  <c r="CC9" i="19"/>
  <c r="CC23" i="19"/>
  <c r="CC20" i="19"/>
  <c r="CC28" i="19"/>
  <c r="CC15" i="19"/>
  <c r="CC18" i="19"/>
  <c r="CC11" i="19"/>
  <c r="AQ20" i="46"/>
  <c r="AO20" i="46"/>
  <c r="AN20" i="46"/>
  <c r="AM21" i="46"/>
  <c r="AP20" i="46"/>
  <c r="D24" i="46"/>
  <c r="J24" i="46" s="1"/>
  <c r="X25" i="16" l="1"/>
  <c r="V32" i="47"/>
  <c r="AQ25" i="16"/>
  <c r="P169" i="40"/>
  <c r="CC34" i="19"/>
  <c r="BK11" i="28"/>
  <c r="BN89" i="48"/>
  <c r="BW89" i="48" s="1"/>
  <c r="CF89" i="48" s="1"/>
  <c r="CH89" i="48" s="1"/>
  <c r="CU89" i="48" s="1"/>
  <c r="BJ32" i="16"/>
  <c r="J23" i="46"/>
  <c r="D27" i="46"/>
  <c r="AP20" i="45"/>
  <c r="Z13" i="45"/>
  <c r="D23" i="45" s="1"/>
  <c r="BN11" i="48"/>
  <c r="BW11" i="48" s="1"/>
  <c r="CF11" i="48" s="1"/>
  <c r="CH11" i="48" s="1"/>
  <c r="CU11" i="48" s="1"/>
  <c r="X32" i="16"/>
  <c r="Q69" i="40"/>
  <c r="W69" i="40" s="1"/>
  <c r="AM74" i="40"/>
  <c r="Y23" i="45"/>
  <c r="BN10" i="48"/>
  <c r="BW10" i="48" s="1"/>
  <c r="CF10" i="48" s="1"/>
  <c r="CH10" i="48" s="1"/>
  <c r="CU10" i="48" s="1"/>
  <c r="O32" i="16"/>
  <c r="BN68" i="48"/>
  <c r="BW68" i="48" s="1"/>
  <c r="CF68" i="48" s="1"/>
  <c r="CH68" i="48" s="1"/>
  <c r="CU68" i="48" s="1"/>
  <c r="CC32" i="16"/>
  <c r="AO20" i="45"/>
  <c r="AC13" i="45"/>
  <c r="Q51" i="40"/>
  <c r="W51" i="40" s="1"/>
  <c r="U58" i="40"/>
  <c r="W23" i="46" s="1"/>
  <c r="M7" i="26" s="1"/>
  <c r="AB24" i="45"/>
  <c r="S24" i="45"/>
  <c r="BJ54" i="16"/>
  <c r="BJ61" i="16" s="1"/>
  <c r="X54" i="16"/>
  <c r="AQ54" i="16"/>
  <c r="BK17" i="28"/>
  <c r="Q68" i="40"/>
  <c r="AO74" i="40"/>
  <c r="S58" i="40"/>
  <c r="U23" i="46" s="1"/>
  <c r="Q50" i="40"/>
  <c r="V23" i="45"/>
  <c r="AN74" i="40"/>
  <c r="BN39" i="48"/>
  <c r="BW39" i="48" s="1"/>
  <c r="CF39" i="48" s="1"/>
  <c r="CH39" i="48" s="1"/>
  <c r="CU39" i="48" s="1"/>
  <c r="AH32" i="16"/>
  <c r="AF13" i="45"/>
  <c r="AN20" i="45"/>
  <c r="AO56" i="40"/>
  <c r="AN56" i="40"/>
  <c r="AM56" i="40"/>
  <c r="AP56" i="40"/>
  <c r="S23" i="46"/>
  <c r="AQ32" i="16"/>
  <c r="BN40" i="48"/>
  <c r="BW40" i="48" s="1"/>
  <c r="CF40" i="48" s="1"/>
  <c r="CH40" i="48" s="1"/>
  <c r="CU40" i="48" s="1"/>
  <c r="AQ53" i="16"/>
  <c r="K22" i="44"/>
  <c r="X53" i="16"/>
  <c r="D24" i="45" l="1"/>
  <c r="J24" i="45" s="1"/>
  <c r="Q7" i="26"/>
  <c r="Q24" i="26" s="1"/>
  <c r="X61" i="16"/>
  <c r="BN19" i="48" s="1"/>
  <c r="BW19" i="48" s="1"/>
  <c r="BK15" i="28"/>
  <c r="AQ61" i="16"/>
  <c r="BN49" i="48" s="1"/>
  <c r="BW49" i="48" s="1"/>
  <c r="BN93" i="48"/>
  <c r="BW93" i="48" s="1"/>
  <c r="M21" i="26"/>
  <c r="M16" i="26"/>
  <c r="M37" i="26"/>
  <c r="N32" i="26"/>
  <c r="M20" i="26"/>
  <c r="M17" i="26"/>
  <c r="M29" i="26"/>
  <c r="M31" i="26"/>
  <c r="M28" i="26"/>
  <c r="M43" i="26"/>
  <c r="M30" i="26"/>
  <c r="M18" i="26"/>
  <c r="M44" i="26"/>
  <c r="M26" i="26"/>
  <c r="M32" i="26"/>
  <c r="M15" i="26"/>
  <c r="M27" i="26"/>
  <c r="M25" i="26"/>
  <c r="J27" i="46"/>
  <c r="D27" i="45"/>
  <c r="J27" i="45" s="1"/>
  <c r="AQ46" i="16"/>
  <c r="X46" i="16"/>
  <c r="AQ42" i="16"/>
  <c r="AQ36" i="16" s="1"/>
  <c r="X42" i="16"/>
  <c r="X36" i="16" s="1"/>
  <c r="BS52" i="16"/>
  <c r="BS61" i="16" s="1"/>
  <c r="AH52" i="16"/>
  <c r="AH61" i="16" s="1"/>
  <c r="BN48" i="48" s="1"/>
  <c r="BW48" i="48" s="1"/>
  <c r="U7" i="26"/>
  <c r="O52" i="16"/>
  <c r="O61" i="16" s="1"/>
  <c r="BN18" i="48" s="1"/>
  <c r="BW18" i="48" s="1"/>
  <c r="CC52" i="16"/>
  <c r="CC61" i="16" s="1"/>
  <c r="BN72" i="48" s="1"/>
  <c r="BW72" i="48" s="1"/>
  <c r="Y58" i="40"/>
  <c r="AA23" i="46" s="1"/>
  <c r="Q37" i="26"/>
  <c r="Q21" i="26"/>
  <c r="Q25" i="26"/>
  <c r="Q43" i="26"/>
  <c r="Q16" i="26"/>
  <c r="Q27" i="26"/>
  <c r="Q32" i="26"/>
  <c r="Q45" i="26"/>
  <c r="Q22" i="26"/>
  <c r="W68" i="40"/>
  <c r="Q73" i="40"/>
  <c r="W73" i="40" s="1"/>
  <c r="J23" i="45"/>
  <c r="D28" i="45"/>
  <c r="J28" i="45" s="1"/>
  <c r="N7" i="26"/>
  <c r="AQ43" i="16"/>
  <c r="BJ47" i="16"/>
  <c r="BJ49" i="16" s="1"/>
  <c r="BN92" i="48" s="1"/>
  <c r="BW92" i="48" s="1"/>
  <c r="CF92" i="48" s="1"/>
  <c r="CH92" i="48" s="1"/>
  <c r="CU92" i="48" s="1"/>
  <c r="BJ43" i="16"/>
  <c r="AQ47" i="16"/>
  <c r="X47" i="16"/>
  <c r="X43" i="16"/>
  <c r="W50" i="40"/>
  <c r="Q54" i="40"/>
  <c r="Q26" i="26" l="1"/>
  <c r="Q44" i="26"/>
  <c r="Q23" i="26"/>
  <c r="O32" i="26"/>
  <c r="AQ49" i="16"/>
  <c r="BN46" i="48" s="1"/>
  <c r="BW46" i="48" s="1"/>
  <c r="CF46" i="48" s="1"/>
  <c r="CH46" i="48" s="1"/>
  <c r="CU46" i="48" s="1"/>
  <c r="AB23" i="45"/>
  <c r="S23" i="45"/>
  <c r="X37" i="16" s="1"/>
  <c r="X39" i="16" s="1"/>
  <c r="U21" i="26"/>
  <c r="U26" i="26"/>
  <c r="U25" i="26"/>
  <c r="U10" i="26"/>
  <c r="AA10" i="26" s="1"/>
  <c r="BS45" i="16"/>
  <c r="BS49" i="16" s="1"/>
  <c r="O41" i="16"/>
  <c r="O45" i="16"/>
  <c r="O49" i="16" s="1"/>
  <c r="BN16" i="48" s="1"/>
  <c r="BW16" i="48" s="1"/>
  <c r="CF16" i="48" s="1"/>
  <c r="CH16" i="48" s="1"/>
  <c r="CU16" i="48" s="1"/>
  <c r="CC45" i="16"/>
  <c r="CC49" i="16" s="1"/>
  <c r="BN71" i="48" s="1"/>
  <c r="BW71" i="48" s="1"/>
  <c r="CF71" i="48" s="1"/>
  <c r="CH71" i="48" s="1"/>
  <c r="CU71" i="48" s="1"/>
  <c r="CC41" i="16"/>
  <c r="CC35" i="16" s="1"/>
  <c r="CC39" i="16" s="1"/>
  <c r="AH41" i="16"/>
  <c r="AH35" i="16" s="1"/>
  <c r="AH39" i="16" s="1"/>
  <c r="AH45" i="16"/>
  <c r="BS41" i="16"/>
  <c r="BS36" i="16" s="1"/>
  <c r="W54" i="40"/>
  <c r="Q72" i="40"/>
  <c r="W72" i="40" s="1"/>
  <c r="N16" i="26"/>
  <c r="N26" i="26"/>
  <c r="N18" i="26"/>
  <c r="O18" i="26" s="1"/>
  <c r="AA18" i="26" s="1"/>
  <c r="N44" i="26"/>
  <c r="O44" i="26" s="1"/>
  <c r="N21" i="26"/>
  <c r="O21" i="26" s="1"/>
  <c r="N37" i="26"/>
  <c r="O37" i="26" s="1"/>
  <c r="N20" i="26"/>
  <c r="O20" i="26" s="1"/>
  <c r="AA20" i="26" s="1"/>
  <c r="N17" i="26"/>
  <c r="N29" i="26"/>
  <c r="O29" i="26" s="1"/>
  <c r="AA29" i="26" s="1"/>
  <c r="N31" i="26"/>
  <c r="O31" i="26" s="1"/>
  <c r="AA31" i="26" s="1"/>
  <c r="N43" i="26"/>
  <c r="N28" i="26"/>
  <c r="O28" i="26" s="1"/>
  <c r="AA28" i="26" s="1"/>
  <c r="N15" i="26"/>
  <c r="O15" i="26" s="1"/>
  <c r="AA15" i="26" s="1"/>
  <c r="N30" i="26"/>
  <c r="O30" i="26" s="1"/>
  <c r="AA30" i="26" s="1"/>
  <c r="N25" i="26"/>
  <c r="O25" i="26" s="1"/>
  <c r="N27" i="26"/>
  <c r="O27" i="26" s="1"/>
  <c r="X49" i="16"/>
  <c r="BN17" i="48" s="1"/>
  <c r="BW17" i="48" s="1"/>
  <c r="CF17" i="48" s="1"/>
  <c r="CH17" i="48" s="1"/>
  <c r="CU17" i="48" s="1"/>
  <c r="O26" i="26"/>
  <c r="O43" i="26"/>
  <c r="O17" i="26"/>
  <c r="AA17" i="26" s="1"/>
  <c r="O16" i="26"/>
  <c r="O35" i="16" l="1"/>
  <c r="O39" i="16" s="1"/>
  <c r="AQ37" i="16"/>
  <c r="AQ39" i="16" s="1"/>
  <c r="BN43" i="48"/>
  <c r="BW43" i="48" s="1"/>
  <c r="CF43" i="48" s="1"/>
  <c r="CH43" i="48" s="1"/>
  <c r="CU43" i="48" s="1"/>
  <c r="BN15" i="48"/>
  <c r="BW15" i="48" s="1"/>
  <c r="CF15" i="48" s="1"/>
  <c r="CH15" i="48" s="1"/>
  <c r="CU15" i="48" s="1"/>
  <c r="X92" i="16"/>
  <c r="X102" i="16" s="1"/>
  <c r="X103" i="16" s="1"/>
  <c r="X104" i="16" s="1"/>
  <c r="BN44" i="48"/>
  <c r="BW44" i="48" s="1"/>
  <c r="CF44" i="48" s="1"/>
  <c r="CH44" i="48" s="1"/>
  <c r="CU44" i="48" s="1"/>
  <c r="AQ92" i="16"/>
  <c r="AQ102" i="16" s="1"/>
  <c r="AQ103" i="16" s="1"/>
  <c r="AQ104" i="16" s="1"/>
  <c r="BN70" i="48"/>
  <c r="BW70" i="48" s="1"/>
  <c r="CF70" i="48" s="1"/>
  <c r="CH70" i="48" s="1"/>
  <c r="CU70" i="48" s="1"/>
  <c r="CC92" i="16"/>
  <c r="CC102" i="16" s="1"/>
  <c r="CC103" i="16" s="1"/>
  <c r="CC104" i="16" s="1"/>
  <c r="CC105" i="16" s="1"/>
  <c r="BN14" i="48"/>
  <c r="BW14" i="48" s="1"/>
  <c r="CF14" i="48" s="1"/>
  <c r="CH14" i="48" s="1"/>
  <c r="CU14" i="48" s="1"/>
  <c r="O92" i="16"/>
  <c r="O102" i="16" s="1"/>
  <c r="O103" i="16" s="1"/>
  <c r="O104" i="16" s="1"/>
  <c r="BS37" i="16"/>
  <c r="BS39" i="16" s="1"/>
  <c r="R7" i="26"/>
  <c r="BJ37" i="16"/>
  <c r="BJ39" i="16" s="1"/>
  <c r="BK13" i="28"/>
  <c r="BK33" i="28" s="1"/>
  <c r="AH49" i="16"/>
  <c r="BN45" i="48" s="1"/>
  <c r="BW45" i="48" s="1"/>
  <c r="CF45" i="48" s="1"/>
  <c r="CH45" i="48" s="1"/>
  <c r="CU45" i="48" s="1"/>
  <c r="AZ45" i="16"/>
  <c r="AZ49" i="16" s="1"/>
  <c r="BP118" i="16" l="1"/>
  <c r="CG118" i="16" s="1"/>
  <c r="BS87" i="16"/>
  <c r="BS92" i="16" s="1"/>
  <c r="R16" i="26"/>
  <c r="S16" i="26" s="1"/>
  <c r="AA16" i="26" s="1"/>
  <c r="R37" i="26"/>
  <c r="S37" i="26" s="1"/>
  <c r="AA37" i="26" s="1"/>
  <c r="R24" i="26"/>
  <c r="S24" i="26" s="1"/>
  <c r="AA24" i="26" s="1"/>
  <c r="R44" i="26"/>
  <c r="S44" i="26" s="1"/>
  <c r="AA44" i="26" s="1"/>
  <c r="R23" i="26"/>
  <c r="S23" i="26" s="1"/>
  <c r="AA23" i="26" s="1"/>
  <c r="R45" i="26"/>
  <c r="S45" i="26" s="1"/>
  <c r="AA45" i="26" s="1"/>
  <c r="R26" i="26"/>
  <c r="S26" i="26" s="1"/>
  <c r="AA26" i="26" s="1"/>
  <c r="R27" i="26"/>
  <c r="S27" i="26" s="1"/>
  <c r="AA27" i="26" s="1"/>
  <c r="R32" i="26"/>
  <c r="S32" i="26" s="1"/>
  <c r="AA32" i="26" s="1"/>
  <c r="R43" i="26"/>
  <c r="S43" i="26" s="1"/>
  <c r="AA43" i="26" s="1"/>
  <c r="R25" i="26"/>
  <c r="S25" i="26" s="1"/>
  <c r="AA25" i="26" s="1"/>
  <c r="R22" i="26"/>
  <c r="S22" i="26" s="1"/>
  <c r="AA22" i="26" s="1"/>
  <c r="R21" i="26"/>
  <c r="S21" i="26" s="1"/>
  <c r="AA21" i="26" s="1"/>
  <c r="BZ118" i="16"/>
  <c r="O105" i="16"/>
  <c r="AH92" i="16"/>
  <c r="AH102" i="16" s="1"/>
  <c r="AH103" i="16" s="1"/>
  <c r="AH104" i="16" s="1"/>
  <c r="BN47" i="48"/>
  <c r="BW47" i="48" s="1"/>
  <c r="AZ92" i="16"/>
  <c r="AZ102" i="16" s="1"/>
  <c r="AZ103" i="16" s="1"/>
  <c r="AZ104" i="16" s="1"/>
  <c r="BN91" i="48"/>
  <c r="BW91" i="48" s="1"/>
  <c r="CF91" i="48" s="1"/>
  <c r="CH91" i="48" s="1"/>
  <c r="CU91" i="48" s="1"/>
  <c r="BJ89" i="16"/>
  <c r="BN96" i="48" s="1"/>
  <c r="BW96" i="48" s="1"/>
  <c r="BP116" i="16" l="1"/>
  <c r="CG116" i="16" s="1"/>
  <c r="CQ116" i="16" s="1"/>
  <c r="AH105" i="16"/>
  <c r="BJ92" i="16"/>
  <c r="BJ102" i="16" s="1"/>
  <c r="BJ103" i="16" s="1"/>
  <c r="BJ104" i="16" s="1"/>
  <c r="BJ105" i="16" s="1"/>
  <c r="BS102" i="16"/>
  <c r="BS103" i="16" s="1"/>
  <c r="BS104" i="16" s="1"/>
  <c r="BS105" i="16" s="1"/>
  <c r="BN109" i="48"/>
  <c r="BW109" i="48" s="1"/>
  <c r="CF109" i="48" s="1"/>
  <c r="CH109" i="48" s="1"/>
  <c r="CU109" i="48" s="1"/>
  <c r="BW78" i="48"/>
  <c r="CQ118" i="16"/>
  <c r="BP119" i="16" l="1"/>
  <c r="CG119" i="16" s="1"/>
  <c r="BP117" i="16"/>
  <c r="BZ117" i="16" s="1"/>
  <c r="BZ116" i="16"/>
  <c r="BW27" i="48"/>
  <c r="BZ119" i="16" l="1"/>
  <c r="CQ119" i="16"/>
  <c r="BW100" i="48"/>
  <c r="CG117" i="16"/>
  <c r="CQ117" i="16" l="1"/>
  <c r="BW57"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 Bento e Wagner</author>
  </authors>
  <commentList>
    <comment ref="B34" authorId="0" shapeId="0" xr:uid="{00000000-0006-0000-0400-000001000000}">
      <text>
        <r>
          <rPr>
            <b/>
            <sz val="9"/>
            <color indexed="81"/>
            <rFont val="Segoe UI"/>
            <family val="2"/>
          </rPr>
          <t>Dani Bento e Wagner:</t>
        </r>
        <r>
          <rPr>
            <sz val="9"/>
            <color indexed="81"/>
            <rFont val="Segoe UI"/>
            <family val="2"/>
          </rPr>
          <t xml:space="preserve">
Foram excluídos os diabéticos com hipertensão, que são atendidos como diabéticos, conforme parâmetro pactuado pela equipe - os valores estão nas linhas 43-45 desta planilha</t>
        </r>
      </text>
    </comment>
    <comment ref="B55" authorId="0" shapeId="0" xr:uid="{00000000-0006-0000-0400-000002000000}">
      <text>
        <r>
          <rPr>
            <b/>
            <sz val="9"/>
            <color indexed="81"/>
            <rFont val="Segoe UI"/>
            <family val="2"/>
          </rPr>
          <t>Dani Bento e Wagner:</t>
        </r>
        <r>
          <rPr>
            <sz val="9"/>
            <color indexed="81"/>
            <rFont val="Segoe UI"/>
            <family val="2"/>
          </rPr>
          <t xml:space="preserve">
Idoso Robusto com diabetes sem hipertensão:  Número de Idosos robustos nas faixas etárias X os parâmetros para diabetes x percentual de diabéticos sem hipertensão pactuados pela equipeX META DE COBERTURA
</t>
        </r>
      </text>
    </comment>
    <comment ref="AZ55" authorId="0" shapeId="0" xr:uid="{00000000-0006-0000-0400-000003000000}">
      <text>
        <r>
          <rPr>
            <b/>
            <sz val="9"/>
            <color indexed="81"/>
            <rFont val="Segoe UI"/>
            <family val="2"/>
          </rPr>
          <t>Dani Bento e Wagner:</t>
        </r>
        <r>
          <rPr>
            <sz val="9"/>
            <color indexed="81"/>
            <rFont val="Segoe UI"/>
            <family val="2"/>
          </rPr>
          <t xml:space="preserve">
Aqui não multiplica pelos diabeticos com hipertensão pois a ação é única e não computada no atendimento ao hipertenso
</t>
        </r>
      </text>
    </comment>
    <comment ref="A60" authorId="0" shapeId="0" xr:uid="{00000000-0006-0000-0400-000004000000}">
      <text>
        <r>
          <rPr>
            <b/>
            <sz val="9"/>
            <color indexed="81"/>
            <rFont val="Segoe UI"/>
            <family val="2"/>
          </rPr>
          <t>Dani Bento e Wagner:</t>
        </r>
        <r>
          <rPr>
            <sz val="9"/>
            <color indexed="81"/>
            <rFont val="Segoe UI"/>
            <family val="2"/>
          </rPr>
          <t xml:space="preserve">
O consolidado dos idosos diminuiu o número de atividades já realizadas com os idosos robustos hipertensos e diabético</t>
        </r>
      </text>
    </comment>
  </commentList>
</comments>
</file>

<file path=xl/sharedStrings.xml><?xml version="1.0" encoding="utf-8"?>
<sst xmlns="http://schemas.openxmlformats.org/spreadsheetml/2006/main" count="2313" uniqueCount="884">
  <si>
    <t>%</t>
  </si>
  <si>
    <t>Enfermeiro</t>
  </si>
  <si>
    <t>Médico</t>
  </si>
  <si>
    <t>ACS</t>
  </si>
  <si>
    <t>TOTAL</t>
  </si>
  <si>
    <t>PROFISSIONAIS</t>
  </si>
  <si>
    <t>GESTANTE</t>
  </si>
  <si>
    <t>CRIANÇA</t>
  </si>
  <si>
    <t>Dentista</t>
  </si>
  <si>
    <t>consulta odontológica</t>
  </si>
  <si>
    <t>CONSOLIDADO DAS ATIVIDADES PROGRAMADAS - ANO</t>
  </si>
  <si>
    <t>ANÁLISE DO ATENDIMENTO SEMANAL</t>
  </si>
  <si>
    <t>PUÉRPERA</t>
  </si>
  <si>
    <t>Geral</t>
  </si>
  <si>
    <t>CONSULTA ODONTOLÓGICA</t>
  </si>
  <si>
    <t>MÉDICO</t>
  </si>
  <si>
    <t>ENFERMEIRO</t>
  </si>
  <si>
    <t>PRIMEIRA CONSULTA</t>
  </si>
  <si>
    <t>CONSULTA
SUBSEQUENTE</t>
  </si>
  <si>
    <t>CONSULTA SUBSEQUENTE</t>
  </si>
  <si>
    <t>VISITA DOMICILIAR</t>
  </si>
  <si>
    <t>SEMANAL</t>
  </si>
  <si>
    <t>ANUAL</t>
  </si>
  <si>
    <t>em
MINUTOS</t>
  </si>
  <si>
    <t>em
HORAS</t>
  </si>
  <si>
    <t>CARGA HORÁRIA PROGRAMADA</t>
  </si>
  <si>
    <t>CAPACIDADE OPERACIONAL</t>
  </si>
  <si>
    <t>EDUCAÇÃO PERMANENTE</t>
  </si>
  <si>
    <t>Carga horária
necessária
para o total de
atividades
(em horas)</t>
  </si>
  <si>
    <t>Duração média de
cada atividade</t>
  </si>
  <si>
    <t>10 a 14 anos</t>
  </si>
  <si>
    <t>20 a 24 anos</t>
  </si>
  <si>
    <t>25 a 29 anos</t>
  </si>
  <si>
    <t>30 a 34 anos</t>
  </si>
  <si>
    <t>35 a 39 anos</t>
  </si>
  <si>
    <t>40 a 44 anos</t>
  </si>
  <si>
    <t>45 a 49 anos</t>
  </si>
  <si>
    <t>50 a 54 anos</t>
  </si>
  <si>
    <t>55 a 59 anos</t>
  </si>
  <si>
    <t xml:space="preserve">60 a 64 anos </t>
  </si>
  <si>
    <t>65 a 69 anos</t>
  </si>
  <si>
    <t>70 a 74 anos</t>
  </si>
  <si>
    <t>75 a 79 anos</t>
  </si>
  <si>
    <t>≥ 80 anos</t>
  </si>
  <si>
    <t>FEMININO</t>
  </si>
  <si>
    <t>MASCULINO</t>
  </si>
  <si>
    <t>IDOSO</t>
  </si>
  <si>
    <t>ADOLESCENTE</t>
  </si>
  <si>
    <t>ADULTO</t>
  </si>
  <si>
    <t>CICLO DE VIDA</t>
  </si>
  <si>
    <t>FAIXA ETÁRIA</t>
  </si>
  <si>
    <t>CADASTRO FAMILIAR</t>
  </si>
  <si>
    <t>Subtotal crianças</t>
  </si>
  <si>
    <t>Subtotal adolescentes</t>
  </si>
  <si>
    <t>Subtotal adultos</t>
  </si>
  <si>
    <t>Subtotal idosos</t>
  </si>
  <si>
    <t>Ano</t>
  </si>
  <si>
    <t>Nascidos vivos</t>
  </si>
  <si>
    <t>GESTAÇÃO</t>
  </si>
  <si>
    <t>GRUPO OPERATIVO</t>
  </si>
  <si>
    <t>Risco Alto</t>
  </si>
  <si>
    <t>HIPERTENSO</t>
  </si>
  <si>
    <t>DIABÉTICO</t>
  </si>
  <si>
    <t>Risco Alto e Muito Alto</t>
  </si>
  <si>
    <t>OUTRAS INFORMAÇÕES</t>
  </si>
  <si>
    <t>AVALIAÇÃO
PÉ DIABÉTICO</t>
  </si>
  <si>
    <t>ATENÇÃO ÀS CONDIÇÕES CRÔNICAS</t>
  </si>
  <si>
    <t>em</t>
  </si>
  <si>
    <t>Creatinina</t>
  </si>
  <si>
    <t>Potássio</t>
  </si>
  <si>
    <t>Colesterol total</t>
  </si>
  <si>
    <t>Colesterol frações</t>
  </si>
  <si>
    <t>Triglicérides</t>
  </si>
  <si>
    <t>Urina rotina</t>
  </si>
  <si>
    <t>Hemograma</t>
  </si>
  <si>
    <t>Hemoglobina glicada</t>
  </si>
  <si>
    <t>Grupo Sanguíneo</t>
  </si>
  <si>
    <t>Fator Rh</t>
  </si>
  <si>
    <t>Coombs Indireto</t>
  </si>
  <si>
    <t>Eletroforese de Hb</t>
  </si>
  <si>
    <t>Glicemia jejum</t>
  </si>
  <si>
    <t>Glicemia pós-prandial</t>
  </si>
  <si>
    <t>Urocultura com antibiograma</t>
  </si>
  <si>
    <t>Colpocitologia oncótica</t>
  </si>
  <si>
    <t>Ultrassom obstétrico</t>
  </si>
  <si>
    <t>Eletrocardiograma (ECG)</t>
  </si>
  <si>
    <t>RX de tórax</t>
  </si>
  <si>
    <t>TOTAL GERAL</t>
  </si>
  <si>
    <t>NÚMERO DE USUÁRIOS</t>
  </si>
  <si>
    <t>CRITÉRIO DE ENCAMINHAMENTO</t>
  </si>
  <si>
    <t>Subtotal</t>
  </si>
  <si>
    <t xml:space="preserve">Risco Habitual </t>
  </si>
  <si>
    <t>Fundoscopia</t>
  </si>
  <si>
    <t>TSH</t>
  </si>
  <si>
    <t>TGO / AST</t>
  </si>
  <si>
    <t>TGP / ALT</t>
  </si>
  <si>
    <t>ATENÇÃO AO EVENTO AGUDO E A OUTRAS CONDIÇÕES CRÔNICAS</t>
  </si>
  <si>
    <t>Alto Risco</t>
  </si>
  <si>
    <t>Mamografia</t>
  </si>
  <si>
    <t>Risco Baixo e Médio</t>
  </si>
  <si>
    <t>Risco Baixo e Moderado</t>
  </si>
  <si>
    <t>Atividade em grupo</t>
  </si>
  <si>
    <t>Protoparasitológico de fezes</t>
  </si>
  <si>
    <t>Índice albumina / creatinina na urina</t>
  </si>
  <si>
    <t>Uréia</t>
  </si>
  <si>
    <t>Ácido úrico</t>
  </si>
  <si>
    <t>GGT</t>
  </si>
  <si>
    <t>A/MA</t>
  </si>
  <si>
    <t>R1</t>
  </si>
  <si>
    <t>R2</t>
  </si>
  <si>
    <t>R3</t>
  </si>
  <si>
    <t xml:space="preserve">Sorologia Lues VDRL ou RPR; FTA Abs ou TPHA </t>
  </si>
  <si>
    <t>CONFIGURAÇÃO GERAL</t>
  </si>
  <si>
    <t>A planilha está protegida, com o objetivo de evitar eventuais alterações das fórmulas e conteúdos.</t>
  </si>
  <si>
    <t>ARQUIVAMENTO</t>
  </si>
  <si>
    <t>Este instrumento deve ser considerado um documento oficial de planejamento, devendo ser arquivado de acordo com as normas previstas para a gestão de documentos, permanecendo acessível para utilização da equipe sempre que necessário.</t>
  </si>
  <si>
    <t>ORGANIZAÇÃO GERAL</t>
  </si>
  <si>
    <t>-</t>
  </si>
  <si>
    <t>Sendo uma ferramenta de gestão, as metas e intervenções programadas devem ser, na sequência, monitoradas pelas várias equipes gestoras.</t>
  </si>
  <si>
    <t>O prazo geral para a programação é de 1 ano.</t>
  </si>
  <si>
    <t>|</t>
  </si>
  <si>
    <t>Clicar em:</t>
  </si>
  <si>
    <r>
      <rPr>
        <u/>
        <sz val="11"/>
        <color indexed="8"/>
        <rFont val="Calibri"/>
        <family val="2"/>
      </rPr>
      <t>Objetivo</t>
    </r>
    <r>
      <rPr>
        <sz val="11"/>
        <color theme="1"/>
        <rFont val="Arial"/>
        <family val="2"/>
      </rPr>
      <t>:</t>
    </r>
  </si>
  <si>
    <r>
      <rPr>
        <u/>
        <sz val="11"/>
        <color indexed="8"/>
        <rFont val="Calibri"/>
        <family val="2"/>
      </rPr>
      <t>Passos</t>
    </r>
    <r>
      <rPr>
        <sz val="11"/>
        <color theme="1"/>
        <rFont val="Arial"/>
        <family val="2"/>
      </rPr>
      <t>:</t>
    </r>
  </si>
  <si>
    <t>1.1</t>
  </si>
  <si>
    <t>1.2</t>
  </si>
  <si>
    <t>PARÂMETROS DE REFERÊNCIA</t>
  </si>
  <si>
    <t>PARÂMETROS PARA A PROGRAMAÇÃO</t>
  </si>
  <si>
    <t>Número estimado total de gestantes</t>
  </si>
  <si>
    <t>110 % do número de NV do último SINASC</t>
  </si>
  <si>
    <t>85% do total de gestantes</t>
  </si>
  <si>
    <t>Número estimado de gestantes de alto risco</t>
  </si>
  <si>
    <t>15% do total de gestantes</t>
  </si>
  <si>
    <t>Obs.: a informação registrada acima será automaticamente transferida para os respectivos campos de programação das abas seguintes.</t>
  </si>
  <si>
    <t>Número estimado de crianças de risco habitual</t>
  </si>
  <si>
    <t>85% do total de crianças</t>
  </si>
  <si>
    <t>do total de crianças</t>
  </si>
  <si>
    <t>Número estimado de crianças de alto risco</t>
  </si>
  <si>
    <t>15% do total de crianças</t>
  </si>
  <si>
    <r>
      <rPr>
        <u/>
        <sz val="11"/>
        <color indexed="8"/>
        <rFont val="Calibri"/>
        <family val="2"/>
      </rPr>
      <t>Objetivos</t>
    </r>
    <r>
      <rPr>
        <sz val="11"/>
        <color theme="1"/>
        <rFont val="Arial"/>
        <family val="2"/>
      </rPr>
      <t>:</t>
    </r>
  </si>
  <si>
    <t>2.1</t>
  </si>
  <si>
    <t>2.2</t>
  </si>
  <si>
    <t>2.3</t>
  </si>
  <si>
    <t>Programação do número de atendimentos, exames e procedimentos necessários:</t>
  </si>
  <si>
    <t>Pré-natal</t>
  </si>
  <si>
    <t>Primeira avaliação: 1 consulta pelo enfermeiro e 1 consulta pelo médico, de forma sequencial e complementar.</t>
  </si>
  <si>
    <t>consulta do enfermeiro para primeira avaliação</t>
  </si>
  <si>
    <t>consulta do médico para primeira avaliação</t>
  </si>
  <si>
    <t>consulta subsequente do enfermeiro</t>
  </si>
  <si>
    <t>consulta subsequente do médico</t>
  </si>
  <si>
    <t>avaliação odontológica pelo cirurgião dentista</t>
  </si>
  <si>
    <t>atividade em grupo pela eSF e/ou NASF</t>
  </si>
  <si>
    <t>Marcadores do cuidado no pré-natal</t>
  </si>
  <si>
    <t>Estratificação de risco gestacional realizada em todos os atendimentos programados para 100% das gestantes</t>
  </si>
  <si>
    <t>de estratificação de risco</t>
  </si>
  <si>
    <t>Exames laboratoriais realizados trimestralmente, de acordo com o elenco definido na diretriz clínica para 100% das gestantes</t>
  </si>
  <si>
    <t>de exames laboratoriais</t>
  </si>
  <si>
    <t>Vacinação, de acordo com o calendário vigente, para 100% das gestantes</t>
  </si>
  <si>
    <t>de vacinação</t>
  </si>
  <si>
    <t>Vinculação com a Maternidade de referência na RAS, de acordo com o risco gestacional, para 100% das gestantes</t>
  </si>
  <si>
    <t>de vinculação com a maternidade</t>
  </si>
  <si>
    <t>Cartão da Gestante entregue e atualizado em todos os atendimentos, para 100% das gestantes</t>
  </si>
  <si>
    <t>de cartão da gestante</t>
  </si>
  <si>
    <t>Puerpério</t>
  </si>
  <si>
    <t>1 consulta pelo enfermeiro e 1 consulta pelo médico, no período puerperal precoce e tardio</t>
  </si>
  <si>
    <t>consulta do médico para puerpério</t>
  </si>
  <si>
    <t>Continuidade do cuidado na RAS:</t>
  </si>
  <si>
    <t>Continuidade do cuidado na RAS</t>
  </si>
  <si>
    <t>100% das gestantes vinculadas às maternidades de referência da RAS no território, de acordo com o estrato de risco</t>
  </si>
  <si>
    <t>Apoio diagnóstico laboratorial</t>
  </si>
  <si>
    <t>Apoio diagnóstico complementar</t>
  </si>
  <si>
    <t>exame / gestação</t>
  </si>
  <si>
    <r>
      <t xml:space="preserve">Coombs Indireto </t>
    </r>
    <r>
      <rPr>
        <vertAlign val="superscript"/>
        <sz val="10"/>
        <color indexed="8"/>
        <rFont val="Calibri"/>
        <family val="2"/>
      </rPr>
      <t>(1)</t>
    </r>
  </si>
  <si>
    <t>TTG (1h e 2h após 75g dextrosol)</t>
  </si>
  <si>
    <t>Teste rápido para sífilis ou VDRL/RPR</t>
  </si>
  <si>
    <t>Teste rápido para anti-HIV ou Anti-HIV</t>
  </si>
  <si>
    <r>
      <t xml:space="preserve">Toxoplasmose IgM e IgG </t>
    </r>
    <r>
      <rPr>
        <vertAlign val="superscript"/>
        <sz val="10"/>
        <color indexed="8"/>
        <rFont val="Calibri"/>
        <family val="2"/>
      </rPr>
      <t>(2)</t>
    </r>
  </si>
  <si>
    <t>Sorologia para Hepatite B (HBs Ag)</t>
  </si>
  <si>
    <t>Bacterioscopia de secreção vaginal</t>
  </si>
  <si>
    <r>
      <t xml:space="preserve">Protoparasitológico de fezes </t>
    </r>
    <r>
      <rPr>
        <vertAlign val="superscript"/>
        <sz val="10"/>
        <color indexed="8"/>
        <rFont val="Calibri"/>
        <family val="2"/>
      </rPr>
      <t>(3)</t>
    </r>
  </si>
  <si>
    <r>
      <t xml:space="preserve">Colpocitologia oncótica </t>
    </r>
    <r>
      <rPr>
        <vertAlign val="superscript"/>
        <sz val="10"/>
        <color indexed="8"/>
        <rFont val="Calibri"/>
        <family val="2"/>
      </rPr>
      <t>(3)</t>
    </r>
  </si>
  <si>
    <t>(1) Outros exames deverão ser realizados no segundo e terceiro trimestre nos casos de RH negativo.</t>
  </si>
  <si>
    <t>(2) Em caso de susceptibilidade, repetir no terceiro trimestre.</t>
  </si>
  <si>
    <t>(3) Solicitação de acordo com a avaliação clínica.</t>
  </si>
  <si>
    <t>MS | Caderno de Atenção Básica 33
2012
MS | Rede Cegonha
2011 e 2015
CONASS
LIACC Samonte
2013-14</t>
  </si>
  <si>
    <t>Mínimo de 6 consultas alternadas entre o enfermeiro e médico</t>
  </si>
  <si>
    <t>2 avaliações odontológicas anuais (o tratamento necessário será programado pela equipe SB)</t>
  </si>
  <si>
    <t>Marcadores do cuidado da criança</t>
  </si>
  <si>
    <t>Estratificação de risco realizada em todos os atendimentos programados para 100% das crianças</t>
  </si>
  <si>
    <t>Triagem neonatal (elenco de exames previstos na diretriz) para 100% das crianças RN</t>
  </si>
  <si>
    <t>Vacinação, de acordo com o calendário vigente, para 100% das crianças</t>
  </si>
  <si>
    <t>Avaliação do crescimento e desenvolvimento, para 100% das crianças</t>
  </si>
  <si>
    <t>de avaliação</t>
  </si>
  <si>
    <t>Cartão da Criança entregue e atualizado em todos os atendimentos, para 100% das crianças</t>
  </si>
  <si>
    <t>de cartão da criança</t>
  </si>
  <si>
    <t>MS | Rede Cegonha | 2011 e 2015 / CONASS LIACC Samonte 2013-14</t>
  </si>
  <si>
    <t>Triagem neonatal</t>
  </si>
  <si>
    <t>exame / criança RN</t>
  </si>
  <si>
    <t>MS | Caderno de Atenção Básica 36</t>
  </si>
  <si>
    <t>exame / criança</t>
  </si>
  <si>
    <t>A planilha vai converter o número de atendimentos em horas de atendimento dos profissionais, possibilitando o dimensionamento da carga horária a ser dedicada.</t>
  </si>
  <si>
    <t>Importante salientar que o tempo médio de atendimento sugerido deve ser aplicado somente para fins de programação da assistência, refletindo medições de séries históricas de serviços. Não deve ser utilizado para a definição da agenda de atendimento dos profissionais, a qual deve ser elaborada a partir do perfil de demanda do usuário e da categoria e perfil do profissional.</t>
  </si>
  <si>
    <t>Duração média do atendimento: 15 minutos</t>
  </si>
  <si>
    <t>CONASS LIACC Samonte 
2013-14</t>
  </si>
  <si>
    <t>minutos por atendimento do enfermeiro</t>
  </si>
  <si>
    <t>minutos por atendimento do médico</t>
  </si>
  <si>
    <t>Cirurgião dentista</t>
  </si>
  <si>
    <t>minutos por atendimento do cirurgião dentista</t>
  </si>
  <si>
    <t>Duração média: 60 minutos</t>
  </si>
  <si>
    <t>Número de participantes: 20 usuários</t>
  </si>
  <si>
    <t>usuários por grupo</t>
  </si>
  <si>
    <t>O total de horas necessárias por ano para o atendimento programado, considerando a duração média de atendimentos para cada profissional.</t>
  </si>
  <si>
    <t>O total de horas necessárias por semana para o atendimento programado, por cada profissional.</t>
  </si>
  <si>
    <t>Da mesma maneira, a planilha vai calcular para os profissionais responsáveis pela condução das atividades em grupo:</t>
  </si>
  <si>
    <t>O total de grupos programados, considerando o número médio de usuários participantes em cada atividade em grupo.</t>
  </si>
  <si>
    <t>O total de horas necessárias por ano para a realização das atividades em grupo programadas, considerando a sua duração média.</t>
  </si>
  <si>
    <t>O total de horas necessárias por semana para a realização das atividades em grupo programadas.</t>
  </si>
  <si>
    <t>As atividades em grupo poderão ser conduzidas pelos profissionais do NASF ou, caso estes não existam, pelos profissionais da própria eSF e eSF-SB. Nesse último caso, a carga horária do atendimento individual deve ser somada com a carga horária da atividade em grupo para a avaliação da capacidade operacional.</t>
  </si>
  <si>
    <t>A organização da atenção ambulatorial especializada é fundamentado no Modelo de Atenção às Condições Crônicas (MACC), pelo qual as equipes da APS compartilham somente os usuários estratificados como alto risco e em caráter de interconsulta, até a estabilização clínica do usuário, a partir do qual o acompanhamento volta a ser da APS, com a retaguarda da AAE.</t>
  </si>
  <si>
    <t>3.1</t>
  </si>
  <si>
    <t>3.2</t>
  </si>
  <si>
    <t>3.3</t>
  </si>
  <si>
    <t>consulta do enfermeiro</t>
  </si>
  <si>
    <t>3.4</t>
  </si>
  <si>
    <t>3.5</t>
  </si>
  <si>
    <t>3.6</t>
  </si>
  <si>
    <t>4.1</t>
  </si>
  <si>
    <t>4.2</t>
  </si>
  <si>
    <t>Mulheres em Idade Fértil</t>
  </si>
  <si>
    <t>MUITO ALTO RISCO</t>
  </si>
  <si>
    <t>ALTO RISCO</t>
  </si>
  <si>
    <t>RISCO INTERMEDIÁRIO</t>
  </si>
  <si>
    <t>BAIXO RISCO</t>
  </si>
  <si>
    <t>FINALIDADE</t>
  </si>
  <si>
    <t>Onde estiverem disponíveis, deverão ser utilizadas as diretrizes elaboradas pelas Secretarias de Estado da Saúde (SESAs), possibilitando a utilização de parâmetros contextualizados a partir das diretrizes maiores de referência.</t>
  </si>
  <si>
    <r>
      <t xml:space="preserve">Desenvolvido em Microsoft Excel </t>
    </r>
    <r>
      <rPr>
        <vertAlign val="superscript"/>
        <sz val="11"/>
        <color indexed="8"/>
        <rFont val="Courier New"/>
        <family val="3"/>
      </rPr>
      <t>®</t>
    </r>
    <r>
      <rPr>
        <sz val="11"/>
        <color indexed="8"/>
        <rFont val="Calibri"/>
        <family val="2"/>
      </rPr>
      <t xml:space="preserve"> para Office 365 ® 2018, Windows 10</t>
    </r>
    <r>
      <rPr>
        <sz val="11"/>
        <color theme="1"/>
        <rFont val="Arial"/>
        <family val="2"/>
      </rPr>
      <t>.</t>
    </r>
  </si>
  <si>
    <t>As abas são:</t>
  </si>
  <si>
    <t>Agenda: Permite a organização da agenda dos profissionais em atividades padrão</t>
  </si>
  <si>
    <t>Referenciar: local, responsável e período da programação</t>
  </si>
  <si>
    <t>Registrar a data e o período de programação. Caso haja revisões, registrar o número e a data da mesma.</t>
  </si>
  <si>
    <r>
      <rPr>
        <u/>
        <sz val="11"/>
        <color indexed="8"/>
        <rFont val="Calibri"/>
        <family val="2"/>
      </rPr>
      <t>Aba</t>
    </r>
    <r>
      <rPr>
        <sz val="11"/>
        <color theme="1"/>
        <rFont val="Arial"/>
        <family val="2"/>
      </rPr>
      <t>: CADASTRO</t>
    </r>
  </si>
  <si>
    <t>Cadastro</t>
  </si>
  <si>
    <t>Registrar o número de nascidos vivos (NV) do ano anterior (ou último período disponível nos sistemas de informação)</t>
  </si>
  <si>
    <t>Lançar os dados do cadastro domiciliar, informando a população cadastrada segundo faixa etária e sexo</t>
  </si>
  <si>
    <t>A planilha irá somar a população para cada ciclo de vida e dar o percentual de cada faixa etária.</t>
  </si>
  <si>
    <t>Registar o ano referente ao ultimo dado disponível de Nascidos Vivos</t>
  </si>
  <si>
    <t>Este dado é importante para dimensionamento da população de gestantes para o próximo período</t>
  </si>
  <si>
    <t>Esta planilha considera o escopo de trabalho de uma equipe de saúde da Atenção Primária à Saúde (APS) em sua relação com a população sob sua responsabilidade.</t>
  </si>
  <si>
    <t>Passo 1: Local, Nomes e Datas</t>
  </si>
  <si>
    <t>MUNICÍPIO:</t>
  </si>
  <si>
    <t>UBS:</t>
  </si>
  <si>
    <t>EQUIPE DE SAÚDE:</t>
  </si>
  <si>
    <t>RESPONSÁVEL:</t>
  </si>
  <si>
    <t xml:space="preserve">PERIODO DE PROGRAMAÇÃO (dia/mês/ano): </t>
  </si>
  <si>
    <t>De</t>
  </si>
  <si>
    <t>até</t>
  </si>
  <si>
    <t>REVISÃO (número da revisão e data):</t>
  </si>
  <si>
    <t>Nº</t>
  </si>
  <si>
    <t>SEM RISCO</t>
  </si>
  <si>
    <t>Passo 3: IDENTIFICAÇÃO DA POPULAÇÃO ALVO</t>
  </si>
  <si>
    <t>GESTANTES</t>
  </si>
  <si>
    <t>CRIANÇAS</t>
  </si>
  <si>
    <t>DIABÉTICOS</t>
  </si>
  <si>
    <t>IDADE</t>
  </si>
  <si>
    <t>PARÂMETRO</t>
  </si>
  <si>
    <t>Diabéticos com idade de 25 a 34 anos</t>
  </si>
  <si>
    <t>Diabéticos com idade de 35 a 44 anos</t>
  </si>
  <si>
    <t>Diabéticos com idade de 45 a 54 anos</t>
  </si>
  <si>
    <t>Diabéticos com idade de 55 a 59 anos</t>
  </si>
  <si>
    <t>Diabéticos com idade de 60 a 64 anos</t>
  </si>
  <si>
    <t>Diabéticos com idade de 65 anos ou mais</t>
  </si>
  <si>
    <t>PARÂMETROS DE REFERÊNCIA PARA ESTRATOS DE RISCO - DIABETES</t>
  </si>
  <si>
    <t>HIPERTENSOS</t>
  </si>
  <si>
    <t>Hipertensos com idade de 25 a 34 anos</t>
  </si>
  <si>
    <t>Hipertensos com idade de 35 a 44 anos</t>
  </si>
  <si>
    <t>Hipertensos com idade de 45 a 54 anos</t>
  </si>
  <si>
    <t>Hipertensos com idade de 55 a 59 anos</t>
  </si>
  <si>
    <t>Hipertensos com idade de 60 a 64 anos</t>
  </si>
  <si>
    <t>Hipertensos com idade de 65 anos ou mais</t>
  </si>
  <si>
    <t>IDOSOS</t>
  </si>
  <si>
    <t>Número estimado de idosos robustos</t>
  </si>
  <si>
    <t>50% do total de idosos</t>
  </si>
  <si>
    <t>Número estimado de idosos em risco de fragilização</t>
  </si>
  <si>
    <t>30% do total de idosos</t>
  </si>
  <si>
    <t>30% dos idosos frágeis</t>
  </si>
  <si>
    <t>60% dos idosos frágeis</t>
  </si>
  <si>
    <t>10% dos idosos frágeis</t>
  </si>
  <si>
    <t>SAÚDE DA MULHER</t>
  </si>
  <si>
    <t>Número de mulheres que realizam mamografia para identificação precoce do câncer de mama</t>
  </si>
  <si>
    <t>FUMANTES</t>
  </si>
  <si>
    <t>EXCESSO DE PESO</t>
  </si>
  <si>
    <t xml:space="preserve"> OBESIDADE</t>
  </si>
  <si>
    <t>PRÁTICA INSUFICIENTE DE ATIVIDADE FÍSICA</t>
  </si>
  <si>
    <t>INATIVIDADE FÍSICA</t>
  </si>
  <si>
    <t>FATORES DE RISCO</t>
  </si>
  <si>
    <t>CONSUMO DE BEBIDAS ALCOÓLICAS</t>
  </si>
  <si>
    <t>USUÁRIOS COM FATORES DE RISCO PROXIMAIS</t>
  </si>
  <si>
    <r>
      <t>Somente as células em co</t>
    </r>
    <r>
      <rPr>
        <sz val="11"/>
        <rFont val="Arial"/>
        <family val="2"/>
      </rPr>
      <t>r "azul</t>
    </r>
    <r>
      <rPr>
        <sz val="11"/>
        <color theme="1"/>
        <rFont val="Arial"/>
        <family val="2"/>
      </rPr>
      <t>" são editáveis, devendo ser preenchidas com os dados necessários para a programação.</t>
    </r>
  </si>
  <si>
    <t>Conhecimento da população sob responsabilidade da equipe de saúde.</t>
  </si>
  <si>
    <t>Risco Habitual</t>
  </si>
  <si>
    <t>RISCO HABITUAL</t>
  </si>
  <si>
    <t>SOMA</t>
  </si>
  <si>
    <t>20% do total de idosos</t>
  </si>
  <si>
    <t>Obs.: a informação registrada acima será automaticamente transferida para os respectivos campos de programação nas abas seguintes.</t>
  </si>
  <si>
    <t>A equipe deve discutir as referências citadas e definir os parâmetros a serem utilizados para a programação na região, registrando-os nos campos específicos (em cor azul).</t>
  </si>
  <si>
    <t>0 a 11 meses</t>
  </si>
  <si>
    <t>5 anos a 9a11m</t>
  </si>
  <si>
    <t>2 anos a 4a11m</t>
  </si>
  <si>
    <t>1 ano a 1a11m</t>
  </si>
  <si>
    <t>3 consultas anuais alternadas entre médico e enfermeiro para crianças de alto risco</t>
  </si>
  <si>
    <t>consulta do médico</t>
  </si>
  <si>
    <t>Diabéticos ESTIMADOS</t>
  </si>
  <si>
    <t>Usuários diabéticos</t>
  </si>
  <si>
    <t>1 avaliação odontológica anual, para estratificação de risco e plano terapêutico, se necessário.</t>
  </si>
  <si>
    <t>4 consultas anuais subsequentes, alternadas entre médico e enfermeiro para diabéticos de  Alto e Muito Alto Riscos</t>
  </si>
  <si>
    <t>Estratificação de risco realizada em todos os atendimentos programados para 100% dos diabéticos</t>
  </si>
  <si>
    <t>Exame preventivo dos pés para 100% dos diabéticos</t>
  </si>
  <si>
    <t>Vacinação, de acordo com o calendário vigente, para 100% dos diabéticos</t>
  </si>
  <si>
    <t>Marcadores do cuidado</t>
  </si>
  <si>
    <t>Exame de fundoscopia para 100% dos diabéticos</t>
  </si>
  <si>
    <t>de fundoscopia</t>
  </si>
  <si>
    <t>de exame do pé diabético</t>
  </si>
  <si>
    <t>100% dos diabéticos de alto risco compartilhados com a AAE</t>
  </si>
  <si>
    <t>100% dos diabéticos de muito alto risco compartilhados com a AAE</t>
  </si>
  <si>
    <t>de compartilhamento do cuidado de diabéticos de Alto Risco</t>
  </si>
  <si>
    <t>de compartilhamento do cuidado de diabéticos de Muito Alto Risco</t>
  </si>
  <si>
    <t>exame/diabético AR e MAR</t>
  </si>
  <si>
    <t>exame/diabético BR e RI</t>
  </si>
  <si>
    <t>exame/usuário</t>
  </si>
  <si>
    <t>Hipertensos ESTIMADOS</t>
  </si>
  <si>
    <t>Usuários hipertensos</t>
  </si>
  <si>
    <t>4 consultas anuais subsequentes, alternadas entre médico e enfermeiro para hipertensos de  Alto Risco</t>
  </si>
  <si>
    <t>Estratificação de risco realizada em todos os atendimentos programados para 100% dos hipertensos</t>
  </si>
  <si>
    <t>Exames laboratoriais realizados  de acordo com o elenco definido na diretriz clínica para 100% dos hipertensos.</t>
  </si>
  <si>
    <t>Vacinação, de acordo com o calendário vigente, para 100% dos hipertensos</t>
  </si>
  <si>
    <t>de planos de cuidado</t>
  </si>
  <si>
    <t>Plano de cuidado, realizado na APS para 100% dos hipertensos de risco baixo e intermediário e na APS em conjunto com a AAE para 100% dos hipertensos de alto risco</t>
  </si>
  <si>
    <t>de compartilhamento do cuidado de hipertensos de Alto Risco</t>
  </si>
  <si>
    <t>Ácido Úrico</t>
  </si>
  <si>
    <t>Raio X de Tórax</t>
  </si>
  <si>
    <t>exame/hipertenso BR e RI</t>
  </si>
  <si>
    <t>exame/hipertenso AR</t>
  </si>
  <si>
    <t>Em risco de fragilização</t>
  </si>
  <si>
    <t>Idosos Frágeis</t>
  </si>
  <si>
    <t>Total de Idosos</t>
  </si>
  <si>
    <t>Passo 4: PROGRAMAÇÃO DA ATENÇÃO PRIMÁRIA À SAÚDE</t>
  </si>
  <si>
    <t>Idosos robustos</t>
  </si>
  <si>
    <t>Usuários idosos</t>
  </si>
  <si>
    <t>Realização do IVCF-20 para 100% dos idosos</t>
  </si>
  <si>
    <t>Vacinação, de acordo com o calendário vigente, para 100% dos idosos</t>
  </si>
  <si>
    <t>Exames laboratoriais realizados  de acordo com o elenco definido na diretriz clínica para 100% dos idosos.</t>
  </si>
  <si>
    <t>Plano de cuidado, realizado na APS - ou em conjunto com a AAE - para 100% dos idosos</t>
  </si>
  <si>
    <t>100% dos idosos frágeis com o cuidado compartilhado com a AAE</t>
  </si>
  <si>
    <t>de compartilhamento do cuidado de idosos frágeis</t>
  </si>
  <si>
    <t>4.25</t>
  </si>
  <si>
    <r>
      <t xml:space="preserve">Utiliza parâmetros epidemiológicos e assistenciais propostos nas Notas Técnicas disponibilizadas pelo PlanificaSUS, </t>
    </r>
    <r>
      <rPr>
        <sz val="11"/>
        <color indexed="8"/>
        <rFont val="Arial"/>
        <family val="2"/>
      </rPr>
      <t>bem como parâmetros apresentados em documentos do Ministério da Saúde ou estudados na experiência dos Laboratórios de Inovação na Atenção às Condições Crônicas (LIACC) desenvolvidos pelo CONASS. As referências completas são disponibilizadas nas referidas Notas Técnicas ou em observações ao longo desta planilha.</t>
    </r>
  </si>
  <si>
    <r>
      <rPr>
        <b/>
        <sz val="11"/>
        <color indexed="8"/>
        <rFont val="Arial"/>
        <family val="2"/>
      </rPr>
      <t>Em nenhum momento a utilização deste instrumento substitui o estudo e discussão das Diretrizes Clínicas referentes às condições aqui priorizadas</t>
    </r>
    <r>
      <rPr>
        <sz val="11"/>
        <color theme="1"/>
        <rFont val="Arial"/>
        <family val="2"/>
      </rPr>
      <t>, ainda que esta planilha também seja um instrumento de apoio à gestão da clínica.</t>
    </r>
  </si>
  <si>
    <t>Dimensionamento das subpopulações prioritárias</t>
  </si>
  <si>
    <t>60 anos ou mais</t>
  </si>
  <si>
    <t>Nota Técnica "Saúde da Pessoa com Diabetes Mellitus e Hipertensão Arterial Sistêmica" PlanificaSUS</t>
  </si>
  <si>
    <t>Número de mulheres que realizam coleta de exame citopatológico de colo do útero.</t>
  </si>
  <si>
    <r>
      <t>100% das mulheres na faixa etária de 50 a 69 anos realizam mamografia a cada 2 anos (</t>
    </r>
    <r>
      <rPr>
        <u/>
        <sz val="10"/>
        <color indexed="8"/>
        <rFont val="Calibri"/>
        <family val="2"/>
      </rPr>
      <t>ou seja: 50% a cada ano</t>
    </r>
    <r>
      <rPr>
        <sz val="10"/>
        <color indexed="8"/>
        <rFont val="Calibri"/>
        <family val="2"/>
      </rPr>
      <t>)</t>
    </r>
  </si>
  <si>
    <t>Nota Técnica "Saúde da Mulher na Gestação, Parto e Puerpério". PlanificaSUS-2019
MS | Rede Cegonha
2011 e 2015
CONASS
LIACC Samonte
2013-14</t>
  </si>
  <si>
    <t>Nota Técnica "Saúde da Mulher na Gestação, Parto e Puerpério". PlanificaSUS-2019</t>
  </si>
  <si>
    <t>Obs.: a informação registrada acima será automaticamente transferida para os respectivos campos de programação.</t>
  </si>
  <si>
    <t>1 avaliação odontológica anual (o tratamento necessário será programado pela equipe SB)</t>
  </si>
  <si>
    <t>consulta subsequente do enfermeiro - BR e RI</t>
  </si>
  <si>
    <t>consulta subsequente do médico - BR e RI</t>
  </si>
  <si>
    <t>consulta subsequente do enfermeiro - AR e MAR</t>
  </si>
  <si>
    <t>consulta subsequente do médico - AR e MAR</t>
  </si>
  <si>
    <t>Glicemia capilar
(preferencialmente na UBS)</t>
  </si>
  <si>
    <t>Cobertura no acompanhamento dos DIABÉTICOS</t>
  </si>
  <si>
    <t>consulta subsequente do enfermeiro - AR</t>
  </si>
  <si>
    <t>consulta subsequente do médico - AR</t>
  </si>
  <si>
    <t>Nota Técnica "Saúde da Pessoa Idosa"  
PlanificaSUS - 2019</t>
  </si>
  <si>
    <t>Pelo menos 2 consultas anuais subsequentes na APS para idosos frágeis</t>
  </si>
  <si>
    <t>de realização do IVCF-20</t>
  </si>
  <si>
    <t>Revisar medicamentos em uso de 100% dos idosos, para alcançar os objetivos previstos para cada estrato de risco.</t>
  </si>
  <si>
    <t>de revisão de medicamentos em uso</t>
  </si>
  <si>
    <t>Nota Técnica "Saúde da Pessoa Idosa"  (PlanificaSUS - 2019)</t>
  </si>
  <si>
    <t>Citopatológico de colo de útero</t>
  </si>
  <si>
    <t>exame/usuário até 75 anos</t>
  </si>
  <si>
    <t>exame/usuária até 64 anos</t>
  </si>
  <si>
    <t>exame a cada dois anos/usuária até 69 anos</t>
  </si>
  <si>
    <t>Pesquisa de sangue oculto nas fezes</t>
  </si>
  <si>
    <t>Ultrassom abdominal</t>
  </si>
  <si>
    <t>Densitometria
mineral óssea</t>
  </si>
  <si>
    <t>exame/ mulheres entre 65 e 85 anos e homens entre 75 e 85 anos</t>
  </si>
  <si>
    <t>exame/homens até 75 anos - com hist. de tabagismo</t>
  </si>
  <si>
    <t>mamografia para identificação precoce do câncer de mama</t>
  </si>
  <si>
    <t>exame citopatológico de colo de útero.</t>
  </si>
  <si>
    <t xml:space="preserve"> Um atendimento clínico para coleta do exame citopatológico</t>
  </si>
  <si>
    <t>Um atendimento clínico para solicitação da mamografia</t>
  </si>
  <si>
    <t>Mulheres</t>
  </si>
  <si>
    <t>coleta de exame citopatológico</t>
  </si>
  <si>
    <t>consulta com médico</t>
  </si>
  <si>
    <r>
      <t xml:space="preserve">100% das mulheres entre 25 e 64 anos realiza o exame a cada três anos </t>
    </r>
    <r>
      <rPr>
        <u/>
        <sz val="10"/>
        <color indexed="8"/>
        <rFont val="Calibri"/>
        <family val="2"/>
      </rPr>
      <t>(ou seja: 33,3% a cada ano</t>
    </r>
    <r>
      <rPr>
        <sz val="10"/>
        <color indexed="8"/>
        <rFont val="Calibri"/>
        <family val="2"/>
      </rPr>
      <t>).</t>
    </r>
  </si>
  <si>
    <t>SAÚDE MENTAL</t>
  </si>
  <si>
    <t>SESMG- 2009</t>
  </si>
  <si>
    <t>consulta subsequente a exames com alterações</t>
  </si>
  <si>
    <t>Número de mulheres com resultado BI-RADS 0 na mamografia</t>
  </si>
  <si>
    <t>Número de mulheres com resultado BI-RADS 3 na mamografia</t>
  </si>
  <si>
    <t>Número de mulheres com resultado BI-RADS 4-5-6 na mamografia</t>
  </si>
  <si>
    <t>Número estimado de mulheres com resultados de biópsias com alteração</t>
  </si>
  <si>
    <t>66 % das mulheres indicadas para biópsia apresentam exames com alteração</t>
  </si>
  <si>
    <t>12% das mulheres com resultados BI-RADS 0 na mamografia</t>
  </si>
  <si>
    <t>4% das mulheres com resultados BI-RADS 3 na mamografia</t>
  </si>
  <si>
    <t>2% das mulheres com resultados BI-RADS 4-5-6 na mamografia</t>
  </si>
  <si>
    <t>100% das mulheres com resultados alterados na citopatologia com cuidado compartilhado</t>
  </si>
  <si>
    <t>100% das mulheres com resultados alterados na mamografia com cuidado compartilhado</t>
  </si>
  <si>
    <t>Número estimado de mulheres com alteração no resultado do exame</t>
  </si>
  <si>
    <t>2 % das mulheres devem apresentar exames com alteração no resultado.</t>
  </si>
  <si>
    <t>de compartilhamento do cuidado</t>
  </si>
  <si>
    <t>Cobertura no acompanhamento  - SAÚDE MENTAL</t>
  </si>
  <si>
    <t>Usuários ESTIMADOS</t>
  </si>
  <si>
    <t>100% dos usuários de alto risco com cuidado compartilhado</t>
  </si>
  <si>
    <t>Recomenda-se que a meta definida seja maior ou igual à cobertura atual.</t>
  </si>
  <si>
    <t>Usuários Fumantes</t>
  </si>
  <si>
    <t>Usuários com  Excesso de Peso e Obesidade</t>
  </si>
  <si>
    <t>Usuários com prática de Atividade Física insuficiente ou inexistente.</t>
  </si>
  <si>
    <t>Usuários que apresentam consumo de bebidas alcoólicas.</t>
  </si>
  <si>
    <r>
      <t xml:space="preserve">Para avaliação da </t>
    </r>
    <r>
      <rPr>
        <b/>
        <sz val="12"/>
        <color indexed="19"/>
        <rFont val="Calibri"/>
        <family val="2"/>
      </rPr>
      <t>CAPACIDADE OPERACIONAL DA EQUIPE</t>
    </r>
  </si>
  <si>
    <t>O total de participações dos usuários nas atividades em grupos programadas até aqui.</t>
  </si>
  <si>
    <t xml:space="preserve">PLANILHA DE PROGRAMAÇÃO ASSISTENCIAL PARA A ATENÇÃO PRIMÁRIA À SAÚDE - APS </t>
  </si>
  <si>
    <r>
      <t xml:space="preserve">Esta ferramenta de programação integra o conjunto de instrumentos de trabalho do </t>
    </r>
    <r>
      <rPr>
        <b/>
        <sz val="11"/>
        <color indexed="8"/>
        <rFont val="Arial"/>
        <family val="2"/>
      </rPr>
      <t>PlanificaSUS</t>
    </r>
    <r>
      <rPr>
        <sz val="11"/>
        <color theme="1"/>
        <rFont val="Arial"/>
        <family val="2"/>
      </rPr>
      <t xml:space="preserve"> e tem como base principal as Notas Técnicas elaboradas pelo programa e a planilha de programação já utilizada na Planificação da Atenção à Saúde (PAS) do CONASS.</t>
    </r>
  </si>
  <si>
    <t>Demais faixas etárias</t>
  </si>
  <si>
    <t>Risco  Habitual</t>
  </si>
  <si>
    <t>2 consultas anuais alternadas entre médico e enfermeiro para crianças de Risco Habitual</t>
  </si>
  <si>
    <r>
      <rPr>
        <b/>
        <sz val="11"/>
        <color indexed="8"/>
        <rFont val="Calibri"/>
        <family val="2"/>
      </rPr>
      <t xml:space="preserve">SINASC </t>
    </r>
    <r>
      <rPr>
        <sz val="11"/>
        <color indexed="8"/>
        <rFont val="Calibri"/>
        <family val="2"/>
      </rPr>
      <t>(último ano fechado)</t>
    </r>
  </si>
  <si>
    <t>RISCO FAMILIAR  (Escala de Coelho-Savassi)</t>
  </si>
  <si>
    <r>
      <t xml:space="preserve">MENSAL </t>
    </r>
    <r>
      <rPr>
        <vertAlign val="superscript"/>
        <sz val="9"/>
        <rFont val="Calibri"/>
        <family val="2"/>
      </rPr>
      <t>(1)</t>
    </r>
  </si>
  <si>
    <r>
      <rPr>
        <vertAlign val="superscript"/>
        <sz val="12"/>
        <rFont val="Calibri"/>
        <family val="2"/>
      </rPr>
      <t>(1) Divisão por 11 meses de trabalho, preservando o mês de férias</t>
    </r>
  </si>
  <si>
    <r>
      <t xml:space="preserve">CARGA HORÁRIA DISPONÍVEL
</t>
    </r>
    <r>
      <rPr>
        <sz val="8"/>
        <rFont val="Calibri"/>
        <family val="2"/>
      </rPr>
      <t>(horas/semana /profissional)</t>
    </r>
  </si>
  <si>
    <r>
      <t xml:space="preserve">CARGA HORÁRIA DISPONÍVEL TOTAL
</t>
    </r>
    <r>
      <rPr>
        <sz val="8"/>
        <rFont val="Calibri"/>
        <family val="2"/>
      </rPr>
      <t>(horas/semana)</t>
    </r>
  </si>
  <si>
    <r>
      <t xml:space="preserve">CH
</t>
    </r>
    <r>
      <rPr>
        <sz val="8"/>
        <rFont val="Calibri"/>
        <family val="2"/>
      </rPr>
      <t>(horas/semana)</t>
    </r>
  </si>
  <si>
    <t>Primeira Consulta</t>
  </si>
  <si>
    <t>Cons. Subsequente</t>
  </si>
  <si>
    <t>Visita Domiciliar</t>
  </si>
  <si>
    <t>Atividade em Grupo</t>
  </si>
  <si>
    <t>Consulta Odontológica</t>
  </si>
  <si>
    <t>1 avaliação odontológica por trimestre de gestação (o tratamento necessário será programado pela equipe SB)</t>
  </si>
  <si>
    <t xml:space="preserve">    atividade em grupo pela eSF e/ou NASF</t>
  </si>
  <si>
    <t>visita domiciliar pelo ACS</t>
  </si>
  <si>
    <t>12 visitas domiciliares pelo ACS  (1 por mês) para diabéticos de alto e muito alto riscos</t>
  </si>
  <si>
    <t>12 visita domiciliares pelo ACS (1 por mês) para crianças de alto risco</t>
  </si>
  <si>
    <t>12 visita domiciliares pelo ACS (1 por mês)</t>
  </si>
  <si>
    <t>Robusto e Risco de fragilização</t>
  </si>
  <si>
    <t>Idoso Frágil</t>
  </si>
  <si>
    <t>Pelo menos 1 consulta anual subsequente,  para os idosos robustos e em risco de fragilização</t>
  </si>
  <si>
    <t>visita do ACS</t>
  </si>
  <si>
    <t>12 visitas do ACS (1 por mês) para idosos frágeis</t>
  </si>
  <si>
    <t>BR+RI</t>
  </si>
  <si>
    <t>Ar+MAR</t>
  </si>
  <si>
    <t>AR</t>
  </si>
  <si>
    <t>12 visitas domiciliares pelo ACS  (1 por mês) para hipertensos de alto risco</t>
  </si>
  <si>
    <t>Saúde da mulher</t>
  </si>
  <si>
    <t>citopatológico e retorno</t>
  </si>
  <si>
    <t>ca mama</t>
  </si>
  <si>
    <t>Saúde MENTAL</t>
  </si>
  <si>
    <t>Total de usuários com transtornos mentais</t>
  </si>
  <si>
    <t>TOTAL GERAL  ANUAL</t>
  </si>
  <si>
    <t xml:space="preserve">        HIPERTENSO</t>
  </si>
  <si>
    <t>Duração média da visita: 40 minutos</t>
  </si>
  <si>
    <t>minutos para a atividade em grupo</t>
  </si>
  <si>
    <t xml:space="preserve">   minutos para visita domiciliar</t>
  </si>
  <si>
    <t>Grupos de prevenção</t>
  </si>
  <si>
    <t>AÇÕES DE PREVENÇÃO</t>
  </si>
  <si>
    <t>O quantitativo de atendimentos programados para a atenção aos usuários programados deve ser garantido na agenda dos profissionais.</t>
  </si>
  <si>
    <t>Programação do número de famílias a serem acompanhadas no próximo período:</t>
  </si>
  <si>
    <t>Definir a meta de cobertura, considerando o estrato de risco da família e a capacidade dos ACS</t>
  </si>
  <si>
    <t>PROGRAMAÇÃO - VISITA DOMICILIAR</t>
  </si>
  <si>
    <t>VISITA FAMILIAR ACS</t>
  </si>
  <si>
    <t>Diabéticos com Hipertensão</t>
  </si>
  <si>
    <t>Não Classificadas</t>
  </si>
  <si>
    <t>minutos por avaliação do pé diabético</t>
  </si>
  <si>
    <t>DENTISTA</t>
  </si>
  <si>
    <t>CARGA HORÁRIA ATIVIDADES PROGRAMADAS</t>
  </si>
  <si>
    <r>
      <t xml:space="preserve">NÚMERO DE PROFISSIONAIS
</t>
    </r>
    <r>
      <rPr>
        <sz val="8"/>
        <rFont val="Calibri"/>
        <family val="2"/>
      </rPr>
      <t>(contratados)</t>
    </r>
  </si>
  <si>
    <t xml:space="preserve">    ACS</t>
  </si>
  <si>
    <r>
      <rPr>
        <u/>
        <sz val="11"/>
        <color indexed="8"/>
        <rFont val="Calibri"/>
        <family val="2"/>
      </rPr>
      <t>Aba</t>
    </r>
    <r>
      <rPr>
        <sz val="11"/>
        <color theme="1"/>
        <rFont val="Arial"/>
        <family val="2"/>
      </rPr>
      <t>: AAE</t>
    </r>
  </si>
  <si>
    <t>De maneira mais concreta visa dimensionar a necessidade de saúde da população alvo, definir metas assistenciais e calcular o número de atendimentos, exames e procedimentos que devem ser organizados na atenção primária à saúde e atenção ambulatorial especializada, bem como o impacto na carga horária de trabalho dos profissionais. Também identifica a necessidade de exames de apoio diagnóstico (laboratorial e especializado).</t>
  </si>
  <si>
    <t>Está organizada em Abas, que representam a ordem adequada para a estruturação dos processos de trabalho, visando o conhecimento da população, a programação de metas assistenciais, considerando as principais ações do cuidado, e a integração com a Atenção Ambulatorial Especializada (AAE).</t>
  </si>
  <si>
    <t>A programação é elaborada por cada equipe de APS, podendo ser consolidada por UBS ou município.</t>
  </si>
  <si>
    <t>Registrar o número de famílias segundo o Risco Familiar (Escala de Coelho e Savassi) e o número de famílias ainda não classificadas.</t>
  </si>
  <si>
    <t>20% do total de diabéticos</t>
  </si>
  <si>
    <t>50% do total de diabéticos</t>
  </si>
  <si>
    <t>25% do total de diabéticos</t>
  </si>
  <si>
    <t>5% do total de diabéticos</t>
  </si>
  <si>
    <t>18 a 24 anos</t>
  </si>
  <si>
    <t>25 a 34 anos</t>
  </si>
  <si>
    <t>35 a 44 anos</t>
  </si>
  <si>
    <t>65 anos ou mais</t>
  </si>
  <si>
    <t>60 a 64 anos</t>
  </si>
  <si>
    <t>45 a 54 anos</t>
  </si>
  <si>
    <t>Estima-se que até 50% dos diabéticos são também hipertensos.</t>
  </si>
  <si>
    <t>Idosos Robustos</t>
  </si>
  <si>
    <t>Idosos em Risco de Fragilização</t>
  </si>
  <si>
    <t>Número estimado de idosos frágeis em fase final de vida</t>
  </si>
  <si>
    <t>Número estimado de idosos frágeis com baixo potencial de melhora funcional</t>
  </si>
  <si>
    <t>Número estimado de idosos frágeis com alto potencial de melhora funcional</t>
  </si>
  <si>
    <t>Número estimado de idosos frágeis</t>
  </si>
  <si>
    <t>Do total de mulheres de 50 a 69 anos realizam o exame a cada ano</t>
  </si>
  <si>
    <t>Mulheres com resultados BI-RADS 0 na mamografia</t>
  </si>
  <si>
    <t>Mulheres com resultados BI-RADS 3 na mamografia</t>
  </si>
  <si>
    <t>Mulheres com resultados BI-RADS 4-5-6 na mamografia</t>
  </si>
  <si>
    <t>Do total de mulheres entre 25 e 64 anos realizam o exame a cada ano</t>
  </si>
  <si>
    <t>Mulheres devem apresentar exames com alteração</t>
  </si>
  <si>
    <t>Mulheres indicadas para biópsia apresentam exames com alteração</t>
  </si>
  <si>
    <t xml:space="preserve">exame/hipertenso AR </t>
  </si>
  <si>
    <t>A meta é expressa em número de visitas anuais por família.</t>
  </si>
  <si>
    <t>Visitas domiciliares anuais a Famílias não classificadas</t>
  </si>
  <si>
    <t>Visitas domiciliares anuais a Famílias sem risco</t>
  </si>
  <si>
    <t>Visitas domiciliares anuais a Famílias R1</t>
  </si>
  <si>
    <t>Visitas domiciliares anuais a Famílias R2</t>
  </si>
  <si>
    <t>Visitas domiciliares anuais a Famílias R3</t>
  </si>
  <si>
    <t>A planilha vai calcular para os profissionais enfermeiro, médico, cirurgião dentista e ACS:</t>
  </si>
  <si>
    <t>O total de atendimentos programados até aqui.</t>
  </si>
  <si>
    <t>A equipe gestora deverá avaliar se a carga horária semanal calculada a partir da necessidade de saúde da população priorizada é viável, considerando a carga horária contratada e praticada pelos profissionais das equipes de APS do município.</t>
  </si>
  <si>
    <t>Dimensionar o número de usuários de alto e muito alto riscos programado para o novo período.</t>
  </si>
  <si>
    <r>
      <rPr>
        <u/>
        <sz val="11"/>
        <color indexed="8"/>
        <rFont val="Calibri"/>
        <family val="2"/>
      </rPr>
      <t>Aba</t>
    </r>
    <r>
      <rPr>
        <sz val="11"/>
        <color theme="1"/>
        <rFont val="Arial"/>
        <family val="2"/>
      </rPr>
      <t>: CH Equipe</t>
    </r>
  </si>
  <si>
    <t>CH Equipe</t>
  </si>
  <si>
    <t>AAE</t>
  </si>
  <si>
    <t>A planilha irá resgatar, a partir dos parâmetros, metas e ações pactuados até aqui, o quantitativo de usuários programados para cuidado compartilhado com a AAE. Caberá à coordenação municipal realizar o consolidado de todas as equipes de APS para encaminhar a população total às Equipes de AAE da Rede.</t>
  </si>
  <si>
    <r>
      <t xml:space="preserve">ATENÇÃO AMBULATORIAL ESPECIALIZADA
</t>
    </r>
    <r>
      <rPr>
        <b/>
        <sz val="16"/>
        <rFont val="Calibri"/>
        <family val="2"/>
      </rPr>
      <t>Dimensionamento da demanda de encaminhamento da APS</t>
    </r>
  </si>
  <si>
    <r>
      <rPr>
        <b/>
        <sz val="10"/>
        <rFont val="Calibri"/>
        <family val="2"/>
      </rPr>
      <t>Gestante</t>
    </r>
    <r>
      <rPr>
        <sz val="10"/>
        <rFont val="Calibri"/>
        <family val="2"/>
      </rPr>
      <t xml:space="preserve"> de alto risco</t>
    </r>
  </si>
  <si>
    <r>
      <rPr>
        <b/>
        <sz val="10"/>
        <rFont val="Calibri"/>
        <family val="2"/>
      </rPr>
      <t>Criança</t>
    </r>
    <r>
      <rPr>
        <sz val="10"/>
        <rFont val="Calibri"/>
        <family val="2"/>
      </rPr>
      <t xml:space="preserve"> de alto risco</t>
    </r>
  </si>
  <si>
    <r>
      <rPr>
        <b/>
        <sz val="10"/>
        <rFont val="Calibri"/>
        <family val="2"/>
      </rPr>
      <t>Hipertenso</t>
    </r>
    <r>
      <rPr>
        <sz val="10"/>
        <rFont val="Calibri"/>
        <family val="2"/>
      </rPr>
      <t xml:space="preserve"> de risco alto</t>
    </r>
  </si>
  <si>
    <r>
      <rPr>
        <b/>
        <sz val="10"/>
        <rFont val="Calibri"/>
        <family val="2"/>
      </rPr>
      <t>Diabético</t>
    </r>
    <r>
      <rPr>
        <sz val="10"/>
        <rFont val="Calibri"/>
        <family val="2"/>
      </rPr>
      <t xml:space="preserve"> de risco alto e muito alto</t>
    </r>
  </si>
  <si>
    <t>Toxoplasmose IgM e IgG</t>
  </si>
  <si>
    <t>Triagem Neonatal</t>
  </si>
  <si>
    <t>BR/RI</t>
  </si>
  <si>
    <t>AR/MAR</t>
  </si>
  <si>
    <t>Pesquisa de Sangue Oculto</t>
  </si>
  <si>
    <t>Densitometria Óssea</t>
  </si>
  <si>
    <r>
      <t xml:space="preserve">DIABETES
</t>
    </r>
    <r>
      <rPr>
        <sz val="8"/>
        <color indexed="8"/>
        <rFont val="Calibri"/>
        <family val="2"/>
      </rPr>
      <t>(por risco estratificado)</t>
    </r>
  </si>
  <si>
    <t>Sorologia para HIV
(Anti HIV 1-2)</t>
  </si>
  <si>
    <t>Hepatite B (HBs Ag)</t>
  </si>
  <si>
    <t>APOIO DIAGNÓSTICO - Elenco mínimo de exames laboratoriais, gráficos e de imagem</t>
  </si>
  <si>
    <t>Mulheres com exames de citologia oncótica alterados</t>
  </si>
  <si>
    <t>Mulheres com resultado BI-RADS 0 na mamografia</t>
  </si>
  <si>
    <t>Mulheres com resultado BI-RADS 3 na mamografia</t>
  </si>
  <si>
    <t>Mulheres com resultado BI-RADS 4-5-6 na mamografia</t>
  </si>
  <si>
    <t>Idosos  - Idade entre 65 e 85 anos (mulheres) e 75 e 85 anos (homens) - para exame de densitometria óssea</t>
  </si>
  <si>
    <t>Idosos - Homens entre 65 e 75 anos, com história de tabagismo - para ultrassonografia abdominal</t>
  </si>
  <si>
    <t>META de Cobertura</t>
  </si>
  <si>
    <t>Cobertura
ATUAL</t>
  </si>
  <si>
    <t>Pop. ESTIMADA</t>
  </si>
  <si>
    <t>Pop. ACOMPANHADA</t>
  </si>
  <si>
    <t>População ESTIMADA</t>
  </si>
  <si>
    <t>RH</t>
  </si>
  <si>
    <t>População</t>
  </si>
  <si>
    <t>total</t>
  </si>
  <si>
    <t>MAR</t>
  </si>
  <si>
    <t>RI</t>
  </si>
  <si>
    <t>Dia</t>
  </si>
  <si>
    <t>Diabéticos ACOMPANHADOS</t>
  </si>
  <si>
    <t>META de COBERTURA</t>
  </si>
  <si>
    <t>25% do total de Hipertensos</t>
  </si>
  <si>
    <t>Hipertensos ACOMPANHADOS</t>
  </si>
  <si>
    <t>Caderno de critérios e parâmetros do Ministério da Saúde
Nota Técnica "Saúde da Pessoa com Hipertensão Mellitus e Hipertensão Arterial Sistêmica" PlanificaSUS</t>
  </si>
  <si>
    <t>40% do total de Hipertensos</t>
  </si>
  <si>
    <t>35% do total de Hipertensos</t>
  </si>
  <si>
    <t>HIPER</t>
  </si>
  <si>
    <t>BR</t>
  </si>
  <si>
    <r>
      <rPr>
        <u/>
        <sz val="11"/>
        <color indexed="8"/>
        <rFont val="Calibri"/>
        <family val="2"/>
      </rPr>
      <t>Idosos frágeis</t>
    </r>
    <r>
      <rPr>
        <sz val="11"/>
        <color indexed="8"/>
        <rFont val="Calibri"/>
        <family val="2"/>
      </rPr>
      <t xml:space="preserve"> com alto potencias de melhora institucional</t>
    </r>
  </si>
  <si>
    <r>
      <rPr>
        <u/>
        <sz val="11"/>
        <color indexed="8"/>
        <rFont val="Calibri"/>
        <family val="2"/>
      </rPr>
      <t>Idosos frágeis</t>
    </r>
    <r>
      <rPr>
        <sz val="11"/>
        <color indexed="8"/>
        <rFont val="Calibri"/>
        <family val="2"/>
      </rPr>
      <t xml:space="preserve"> com baixo potencial de melhora institucional</t>
    </r>
  </si>
  <si>
    <r>
      <rPr>
        <u/>
        <sz val="11"/>
        <color indexed="8"/>
        <rFont val="Calibri"/>
        <family val="2"/>
      </rPr>
      <t>Idosos frágeis</t>
    </r>
    <r>
      <rPr>
        <sz val="11"/>
        <color indexed="8"/>
        <rFont val="Calibri"/>
        <family val="2"/>
      </rPr>
      <t xml:space="preserve"> em fase final de vida</t>
    </r>
  </si>
  <si>
    <t>Identificação da População Alvo</t>
  </si>
  <si>
    <r>
      <t xml:space="preserve">Dimensionamento da necessidade de saúde expressa como número estimado de </t>
    </r>
    <r>
      <rPr>
        <u/>
        <sz val="11"/>
        <color indexed="8"/>
        <rFont val="Arial"/>
        <family val="2"/>
      </rPr>
      <t>usuários com fatores de risco proximais</t>
    </r>
    <r>
      <rPr>
        <sz val="11"/>
        <color theme="1"/>
        <rFont val="Arial"/>
        <family val="2"/>
      </rPr>
      <t>.</t>
    </r>
  </si>
  <si>
    <t>Programação: Atendimentos, exames e procedimentos</t>
  </si>
  <si>
    <t>MS | Caderno de Atenção Básica 32 (Pré-natal)
Nota Técnica "Saúde da Mulher na Gestação, Parto e Puerpério". PlanificaSUS-2019</t>
  </si>
  <si>
    <t>Até 14 visitas domiciliares pelo ACS - 1 para cada mês gestacional e visitas semanais no último mês.</t>
  </si>
  <si>
    <t>Dois primeiros anos de vida</t>
  </si>
  <si>
    <r>
      <t>1</t>
    </r>
    <r>
      <rPr>
        <vertAlign val="superscript"/>
        <sz val="10"/>
        <rFont val="Calibri"/>
        <family val="2"/>
      </rPr>
      <t>o</t>
    </r>
    <r>
      <rPr>
        <sz val="10"/>
        <rFont val="Calibri"/>
        <family val="2"/>
      </rPr>
      <t xml:space="preserve">  e 2º anos de vida</t>
    </r>
  </si>
  <si>
    <t>Maiores de 2 ano</t>
  </si>
  <si>
    <r>
      <t xml:space="preserve">HIPERTENSAO
</t>
    </r>
    <r>
      <rPr>
        <sz val="8"/>
        <color indexed="8"/>
        <rFont val="Calibri"/>
        <family val="2"/>
      </rPr>
      <t>(por risco estratificado)</t>
    </r>
  </si>
  <si>
    <t>A tabela apresenta os parâmetros assistenciais para duração do atendimento, sugeridos pelas experiências dos LIACC / CONASS.</t>
  </si>
  <si>
    <t>1ano - 1 ano e 11 meses</t>
  </si>
  <si>
    <t>2 anos - 4 anos e 11 meses</t>
  </si>
  <si>
    <t>5 anos - 9 anos e 11 meses</t>
  </si>
  <si>
    <t>DEFINIÇÃO dos Parâmetros</t>
  </si>
  <si>
    <t>Parâmetros de REFERÊNCIA</t>
  </si>
  <si>
    <t xml:space="preserve">Avaliação do pé diabético </t>
  </si>
  <si>
    <t>O modelo também determina que o atendimento deve ser realizado por equipes multiprofissionais que atuam de maneira interdisciplinar elaborando um plano de cuidados com vistas à integração com a APS e estabilização do usuário.</t>
  </si>
  <si>
    <t>Sendo uma planilha de Excel, muitos cálculos são arredondados, não comprometendo, porém, o resultado final.</t>
  </si>
  <si>
    <t>Sendo uma planilha de Excel, deve-se "salvar" o arquivo frequentemente para não correr o risco de perder os registros.</t>
  </si>
  <si>
    <t>Cadastro: Registra a população cadastrada pela equipe segundo faixa etária e sexo, bem como os nascidos vivos no ano anterior e as famílias segundo o estrato de risco.</t>
  </si>
  <si>
    <t>CH Equipe: consolida as informações de tempo de cada atividade programada e permite a avaliação da carga horária semanal de trabalho</t>
  </si>
  <si>
    <t>FONTE: Nota Técnica "Saúde da Mulher na Gestação, Parto e Puerpério", PLanificaSUS-2019</t>
  </si>
  <si>
    <r>
      <t xml:space="preserve">IMPORTANTE: Considera-se </t>
    </r>
    <r>
      <rPr>
        <b/>
        <u/>
        <sz val="11"/>
        <color indexed="8"/>
        <rFont val="Arial"/>
        <family val="2"/>
      </rPr>
      <t>população acompanhada</t>
    </r>
    <r>
      <rPr>
        <sz val="11"/>
        <color theme="1"/>
        <rFont val="Arial"/>
        <family val="2"/>
      </rPr>
      <t xml:space="preserve"> o número de usuários cadastrados e que efetivamente estão em acompanhamento pela equipe, por meio das atividades tais como: atendimentos individuais, grupos, atividades preventivas, monitoramento do plano de cuidados, etc.</t>
    </r>
  </si>
  <si>
    <t>Número de Gestantes PROGRAMADAS</t>
  </si>
  <si>
    <t xml:space="preserve">Fonte: LIACC Santo Antônio do Monte. CONASS. 2010 </t>
  </si>
  <si>
    <t>Número de Crianças PROGRAMADAS</t>
  </si>
  <si>
    <t>Número de Usuários</t>
  </si>
  <si>
    <t>Cobertura ATUAL</t>
  </si>
  <si>
    <t>Número de Diabéticos PROGRAMADOS</t>
  </si>
  <si>
    <t>PARÂMETROS DE REFERÊNCIA PARA ESTRATOS DE RISCO - HIPERTENSÃO</t>
  </si>
  <si>
    <t>Cobertura no acompanhamento dos HIPERTENSOS</t>
  </si>
  <si>
    <t>Número de Hipertensos PROGRAMADOS</t>
  </si>
  <si>
    <t>Nota Técnica de Saúde da Pessoa Idosa - PlanificaSUS - 2019</t>
  </si>
  <si>
    <t>Número de Idosos PROGRAMADOS</t>
  </si>
  <si>
    <t>Número de Mulheres PROGRAMADAS</t>
  </si>
  <si>
    <t>Usuários ACOMPANHADOS</t>
  </si>
  <si>
    <t>Número de usuários PROGRAMADOS</t>
  </si>
  <si>
    <t xml:space="preserve"> - FONTE: VIGITEL 2018</t>
  </si>
  <si>
    <t>Todas as mulheres com idade entre 10 e 49 anos   (Fonte: Ministério da Saúde).</t>
  </si>
  <si>
    <t>Número de Usuários PROGRAMADOS para AÇÕES DE PREVENÇÃO</t>
  </si>
  <si>
    <t>OBSERVAÇÃO: recomenda-se que cada família receba, pelo menos, uma visita domiciliar por mês pelo ACS.</t>
  </si>
  <si>
    <t>A planilha irá consolidar o número de horas necessárias para todas as atividades programadas e mostrar o tempo que pode ser destinado para a atenção à demanda espontânea.</t>
  </si>
  <si>
    <r>
      <rPr>
        <u/>
        <sz val="11"/>
        <color indexed="8"/>
        <rFont val="Calibri"/>
        <family val="2"/>
      </rPr>
      <t>Aba</t>
    </r>
    <r>
      <rPr>
        <sz val="11"/>
        <color theme="1"/>
        <rFont val="Arial"/>
        <family val="2"/>
      </rPr>
      <t>: Ap.Diag.</t>
    </r>
  </si>
  <si>
    <t>Ap.Diag.</t>
  </si>
  <si>
    <t>Dimensionar o número de exames de Apoio Diagnóstico necessários para atender às populações programadas no período de programação.</t>
  </si>
  <si>
    <t>A planilha irá resgatar, a partir dos parâmetros, metas e ações pactuados até aqui, o quantitativo de exames de Apoio Diagnóstico programados para cuidado das subpopulações priorizadas. Caberá à coordenação municipal realizar o consolidado de todas as equipes de APS para obter o quantitativo esperado para o município e se organizar para que os exames sejam disponibilizados segundo a necessidade do cuidado.</t>
  </si>
  <si>
    <t>Número estimado de gestantes de risco habitual e intermediário</t>
  </si>
  <si>
    <t>RISCO HABITUAL e INTERMEDIÁRIO</t>
  </si>
  <si>
    <r>
      <rPr>
        <u/>
        <sz val="11"/>
        <color indexed="8"/>
        <rFont val="Calibri"/>
        <family val="2"/>
      </rPr>
      <t>Obs.:</t>
    </r>
    <r>
      <rPr>
        <sz val="11"/>
        <color indexed="8"/>
        <rFont val="Calibri"/>
        <family val="2"/>
      </rPr>
      <t xml:space="preserve"> onde não for conhecido o número de Nascidos Vivos, considerar, para efeito de programação, o total de crianças de 0 a 11 meses.</t>
    </r>
  </si>
  <si>
    <t>Mínimo de 5 consultas alternadas entre o enfermeiro e médico (A Nota Técnica recomenda até 15 atendimentos no total: 3 no 1º e no 2º trimestres e 9 no 3º trimestre ate a 41ª semana)</t>
  </si>
  <si>
    <t>Mínimo de 3 participações em atividades de grupo, preferencialmente utilizando tecnologias voltadas para o fortalecimento do autocuidado</t>
  </si>
  <si>
    <t>consulta do enfermeiro para puerpério</t>
  </si>
  <si>
    <t>Alto Risco (AR)</t>
  </si>
  <si>
    <t>PARÂMETROS PARA A PROGRAMAÇÃO (Por Criança)</t>
  </si>
  <si>
    <t>PARÂMETROS PARA A PROGRAMAÇÃO (Por Gestante)</t>
  </si>
  <si>
    <t>das gestantes de alto risco com cuidado compartilhado para o pré-natal de alto risco</t>
  </si>
  <si>
    <t>das crianças de alto risco com cuidado compartilhado com o ambulatório de alto risco</t>
  </si>
  <si>
    <t>100% das gestantes de alto risco tem o cuidado compartilhado para o pré-natal de alto risco</t>
  </si>
  <si>
    <t>100% das crianças de alto risco tem o cuidado compartilhado com o ambulatório de alto risco</t>
  </si>
  <si>
    <t>Mínimo de 4 participações em atividades de grupo, preferencialmente utilizando tecnologias voltadas para o fortalecimento do cuidado</t>
  </si>
  <si>
    <t>Mínimo de 2 participações em atividades de grupo, preferencialmente utilizando tecnologias voltadas para o fortalecimento do cuidado.</t>
  </si>
  <si>
    <t>2 consultas anuais subsequentes, alternadas entre médico e enfermeiro para diabéticos de Risco Baixo e Intermediário</t>
  </si>
  <si>
    <t xml:space="preserve"> 3 participações em atividades de grupo, preferencialmente utilizando tecnologias voltadas para o fortalecimento do autocuidado</t>
  </si>
  <si>
    <t>Exames laboratoriais realizados  de acordo com o elenco definido na diretriz clínica para 100% do diabéticos</t>
  </si>
  <si>
    <t>Baixo Risco (BR)</t>
  </si>
  <si>
    <t>Risco Intermediário (RI)</t>
  </si>
  <si>
    <t>Muito Ato Risco (MAR)</t>
  </si>
  <si>
    <t>MUITO ALTO RISCO (MAR)</t>
  </si>
  <si>
    <t>ALTO RISCO (AR)</t>
  </si>
  <si>
    <t>RISCO INTERMEDIÁRIO (RI)</t>
  </si>
  <si>
    <t>BAIXO RISCO (BR)</t>
  </si>
  <si>
    <t>PARÂMETROS PARA A PROGRAMAÇÃO (por usuário)</t>
  </si>
  <si>
    <t>2 consultas anuais subsequentes, alternadas entre médico e enfermeiro para hipertenso de risco Habitual e Intermediário</t>
  </si>
  <si>
    <t>2 participações em atividades de grupo, preferencialmente utilizando tecnologias voltadas para o fortalecimento do autocuidado</t>
  </si>
  <si>
    <t>100% dos hipertensos de alto risco compartilhados com a AAE</t>
  </si>
  <si>
    <t>Avaliação do risco sociofamiliar de 100% dos idosos</t>
  </si>
  <si>
    <t>de avaliação do risco sociofamiliar</t>
  </si>
  <si>
    <t>Colesterol Total</t>
  </si>
  <si>
    <t>Colesterol Frações</t>
  </si>
  <si>
    <t>PARÂMETROS PARA A PROGRAMAÇÃO (por usuária)</t>
  </si>
  <si>
    <t>Um atendimento clínico de retorno para devolução dos exames alterados e novos encaminhamentos</t>
  </si>
  <si>
    <t>Número de ações de prevenção com cada grupo de usuários fumantes no período programado</t>
  </si>
  <si>
    <t>Número de ações de prevenção com cada grupo de usuários com sobrepeso e obesidade no período programado</t>
  </si>
  <si>
    <t>Número de ações de prevenção com cada grupo de usuários com atividade física insuficiente ou inexistente no período programado.</t>
  </si>
  <si>
    <t>Número de ações de prevenção com cada grupo de usuárias em idade fértil no período programado.</t>
  </si>
  <si>
    <t>Número de ações de prevenção com cada grupo de usuários com consumo de bebidas alcoólicas no período programado.</t>
  </si>
  <si>
    <t>15 a 19 anos</t>
  </si>
  <si>
    <t>20 a 59 anos</t>
  </si>
  <si>
    <t>Puericultura
0 - 1ano e 11meses</t>
  </si>
  <si>
    <t>Crianças de 2 anos - 9 anos e 11 meses</t>
  </si>
  <si>
    <t>CA mamaHipertensa</t>
  </si>
  <si>
    <t>CA mama Dia</t>
  </si>
  <si>
    <t>PROFISSIONAL</t>
  </si>
  <si>
    <t>ATIVIDADE PROGRAMADA</t>
  </si>
  <si>
    <t>ATIVIDADES
POR ANO</t>
  </si>
  <si>
    <t>ATIVIDADES
POR SEMANA</t>
  </si>
  <si>
    <t>CONDIÇÕES CRÔNICAS PRIORITÁRIAS</t>
  </si>
  <si>
    <t>1ª consulta</t>
  </si>
  <si>
    <t>Consulta subsequente</t>
  </si>
  <si>
    <t>HORAS POR SEMANA</t>
  </si>
  <si>
    <t>Consulta</t>
  </si>
  <si>
    <t>ATIVIDADE ADMINISTRATIVA</t>
  </si>
  <si>
    <t>Visita domiciliar</t>
  </si>
  <si>
    <r>
      <t xml:space="preserve">DURAÇÃO DA ATIVIDADE
</t>
    </r>
    <r>
      <rPr>
        <sz val="8"/>
        <rFont val="Calibri"/>
        <family val="2"/>
      </rPr>
      <t>(em minutos)</t>
    </r>
  </si>
  <si>
    <r>
      <t xml:space="preserve">TEMPO TOTAL A SER RESERVADO NA AGENDA SEMANAL
</t>
    </r>
    <r>
      <rPr>
        <sz val="8"/>
        <rFont val="Calibri"/>
        <family val="2"/>
      </rPr>
      <t>(em minutos)</t>
    </r>
  </si>
  <si>
    <r>
      <t xml:space="preserve">TEMPO TOTAL A SER RESERVADO NA AGENDA SEMANAL
</t>
    </r>
    <r>
      <rPr>
        <sz val="8"/>
        <rFont val="Calibri"/>
        <family val="2"/>
      </rPr>
      <t>(em horas)</t>
    </r>
  </si>
  <si>
    <t>CRIANÇA - 1°  e 2º anos</t>
  </si>
  <si>
    <t>CRIANÇA - anos subsequentes</t>
  </si>
  <si>
    <t>Avaliação do pé diabético</t>
  </si>
  <si>
    <t>FAMÍLIAS CADASTRADAS</t>
  </si>
  <si>
    <t>Outros Profissionais de Nível Superior (Caso não existam, dividir a carga horária entre os profissionais acima)</t>
  </si>
  <si>
    <t>Grupos Operativos para Ações de Prevenção junto a Usuários com Fatores de Risco Proximais</t>
  </si>
  <si>
    <t>CONSTRUÇÃO DA AGENDA SEMANAL DA EQUIPE</t>
  </si>
  <si>
    <r>
      <rPr>
        <u/>
        <sz val="11"/>
        <color indexed="8"/>
        <rFont val="Calibri"/>
        <family val="2"/>
      </rPr>
      <t>Aba</t>
    </r>
    <r>
      <rPr>
        <sz val="11"/>
        <color theme="1"/>
        <rFont val="Arial"/>
        <family val="2"/>
      </rPr>
      <t>: Agenda</t>
    </r>
  </si>
  <si>
    <t>Agenda</t>
  </si>
  <si>
    <t>Dimensionar o número de atividades semanais programadas para cada subppopulação prioritária e para as demais atividades</t>
  </si>
  <si>
    <t>A planilha irá resgatar, para cada profissional de saúde, o consolidado das atividades programadas para cada subpopulação prioritária, bem como a duração média de cada atividade e o número de atividades por ano e por semana.</t>
  </si>
  <si>
    <t>As atividades de ações coletivas de prevenção junto a usuários com fatores de risco proximais não foram vinculadas automaticamente a nenhum profissional da equipe, podendo ser atribuidas a outros profissionais da equipe multidiscipliar, se houver, ou distribuídas entre os membros da equipe mínima.</t>
  </si>
  <si>
    <r>
      <t xml:space="preserve">Registrar o nome do </t>
    </r>
    <r>
      <rPr>
        <u/>
        <sz val="11"/>
        <color indexed="8"/>
        <rFont val="Arial"/>
        <family val="2"/>
      </rPr>
      <t>Município</t>
    </r>
    <r>
      <rPr>
        <sz val="11"/>
        <color theme="1"/>
        <rFont val="Arial"/>
        <family val="2"/>
      </rPr>
      <t>, da</t>
    </r>
    <r>
      <rPr>
        <sz val="11"/>
        <color indexed="8"/>
        <rFont val="Arial"/>
        <family val="2"/>
      </rPr>
      <t xml:space="preserve"> </t>
    </r>
    <r>
      <rPr>
        <u/>
        <sz val="11"/>
        <color indexed="8"/>
        <rFont val="Arial"/>
        <family val="2"/>
      </rPr>
      <t>Unidade de Saúd</t>
    </r>
    <r>
      <rPr>
        <u/>
        <sz val="11"/>
        <color indexed="8"/>
        <rFont val="Arial"/>
        <family val="2"/>
      </rPr>
      <t>e</t>
    </r>
    <r>
      <rPr>
        <sz val="11"/>
        <color theme="1"/>
        <rFont val="Arial"/>
        <family val="2"/>
      </rPr>
      <t xml:space="preserve">, da </t>
    </r>
    <r>
      <rPr>
        <u/>
        <sz val="11"/>
        <color indexed="8"/>
        <rFont val="Arial"/>
        <family val="2"/>
      </rPr>
      <t>Equipe de Saúde</t>
    </r>
    <r>
      <rPr>
        <sz val="11"/>
        <color theme="1"/>
        <rFont val="Arial"/>
        <family val="2"/>
      </rPr>
      <t xml:space="preserve"> e o </t>
    </r>
    <r>
      <rPr>
        <u/>
        <sz val="11"/>
        <color indexed="8"/>
        <rFont val="Arial"/>
        <family val="2"/>
      </rPr>
      <t>Responsável</t>
    </r>
    <r>
      <rPr>
        <sz val="11"/>
        <color theme="1"/>
        <rFont val="Arial"/>
        <family val="2"/>
      </rPr>
      <t xml:space="preserve"> pelo registro da programação</t>
    </r>
  </si>
  <si>
    <t>Diabéticos com idade de 20 a 24 anos</t>
  </si>
  <si>
    <t>Hipertensos com idade de 20 a 24 anos</t>
  </si>
  <si>
    <t>DIA c/ HAS -Geral</t>
  </si>
  <si>
    <t>DIA c/ HAS -Risco Baixo e Médio</t>
  </si>
  <si>
    <t>DIA c/ HAS - Risco Alto e Muito Alto</t>
  </si>
  <si>
    <t>Idoso Robusto+ Idoso em risco de fragilização com hipertensão</t>
  </si>
  <si>
    <t>Idoso Robusto + Idoso em Risco de fragilização com Diabetes sem hipertensão</t>
  </si>
  <si>
    <t>Avaliação do Pé Diabético</t>
  </si>
  <si>
    <t>ADULTOS 
MAR e AR</t>
  </si>
  <si>
    <t>ADULTOS 
RI e BR</t>
  </si>
  <si>
    <t>IDOSOS 
MAR E AR</t>
  </si>
  <si>
    <t>IDOSOS RI e BR</t>
  </si>
  <si>
    <t>IDOSOS
(&gt;60 ANOS)</t>
  </si>
  <si>
    <t>ADULTOS
(20 a 59 anos)</t>
  </si>
  <si>
    <t>ADULTOS 
 AR</t>
  </si>
  <si>
    <t>IDOSOS
AR</t>
  </si>
  <si>
    <t>IDOSOS
RI e BR</t>
  </si>
  <si>
    <t>ADULTOS 
(20 A 59 ANOS)</t>
  </si>
  <si>
    <t>IDOSOS
( &gt; 60 ANOS)</t>
  </si>
  <si>
    <r>
      <t xml:space="preserve">HIPERTENSO
</t>
    </r>
    <r>
      <rPr>
        <sz val="8"/>
        <rFont val="Calibri"/>
        <family val="2"/>
      </rPr>
      <t>(não diabéticos)</t>
    </r>
  </si>
  <si>
    <t>Pop. ACOMPANHADA NA UBS</t>
  </si>
  <si>
    <t>OUTROS LUGARES</t>
  </si>
  <si>
    <t>Acompanhamento de Crianças de RISCO HABITUAL</t>
  </si>
  <si>
    <t>Acompanhamento de Crianças de ALTO RISCO</t>
  </si>
  <si>
    <t>Cobertura Atual TOTAL</t>
  </si>
  <si>
    <t>Cobertura atual TOTAL</t>
  </si>
  <si>
    <t>Hipertensos COM DIABETES</t>
  </si>
  <si>
    <t>Cobertura no acompanhamento  - AÇÕES DE PREVENÇÃO EM GRUPOS</t>
  </si>
  <si>
    <t>Tecnico em Enfermagem</t>
  </si>
  <si>
    <t>CATEGORIA PROFISSIONAL</t>
  </si>
  <si>
    <t>Passo 3: PROGRAMAÇÃO OPERACIONAL DA EQUIPE</t>
  </si>
  <si>
    <t>DURAÇÃO MÉDIA DE ATENDIMENTO</t>
  </si>
  <si>
    <t>PARÂMETROS</t>
  </si>
  <si>
    <t>PROGRAMAÇÃO</t>
  </si>
  <si>
    <t>FONTE: CONASS LIACC Samonte 
2013-14</t>
  </si>
  <si>
    <t>usuários por grupo operativo/ atividade coletiva</t>
  </si>
  <si>
    <t>META UBS</t>
  </si>
  <si>
    <t>Cobertura PROGRAMADA</t>
  </si>
  <si>
    <t>Nº DE PROFISSIONAIS</t>
  </si>
  <si>
    <t>CARGA HORÁRIA ATIVIDADES ADMINISTRATIVAS</t>
  </si>
  <si>
    <t>Passo 2: PROFISSIONAIS DA EQUIPE</t>
  </si>
  <si>
    <t>TUTORIA</t>
  </si>
  <si>
    <t>CARGA HORÁRIA SEMANAL TOTAL</t>
  </si>
  <si>
    <t>População PROGRAMADA</t>
  </si>
  <si>
    <t>FONTE: Nota Técnica "Saúde da Mulher na Gestação, Parto e Puerpério", PlanificaSUS-2019</t>
  </si>
  <si>
    <t xml:space="preserve">SAÚDE DA MULHER </t>
  </si>
  <si>
    <t>Pop. PROGRAMADA</t>
  </si>
  <si>
    <t>Total de crianças</t>
  </si>
  <si>
    <t>Usuários com idade de 0 a 9 anos e 11 meses</t>
  </si>
  <si>
    <t>META de cobertura</t>
  </si>
  <si>
    <t>PARÂMETROS PARA A PROGRAMAÇÃO (por usuário com diabetes)</t>
  </si>
  <si>
    <t>PARÂMETROS PARA A PROGRAMAÇÃO (por usuário com HA)</t>
  </si>
  <si>
    <t>PARÂMETROS PARA A PROGRAMAÇÃO (por usuário &gt; 60 anos)</t>
  </si>
  <si>
    <t>PARÂMETROS PARA A PROGRAMAÇÃO (por usuária -Saúde da mulher)</t>
  </si>
  <si>
    <t>PARÂMETROS PARA A PROGRAMAÇÃO (por usuário - Saúde mental)</t>
  </si>
  <si>
    <t xml:space="preserve">  Versão 7-2022</t>
  </si>
  <si>
    <t>Equipe: Permite inserir informações para a programação assistencial</t>
  </si>
  <si>
    <t>Tutorial: Fornece orientações gerais para preenchimento e uso da planilha</t>
  </si>
  <si>
    <t>Pop. Alvo: Identifica as subpopulações estimadas, acompanhadas e programadas pela equipe</t>
  </si>
  <si>
    <t>Passo 1: Aba Equipe</t>
  </si>
  <si>
    <t>1.3</t>
  </si>
  <si>
    <t>1.4</t>
  </si>
  <si>
    <t>1.5</t>
  </si>
  <si>
    <t>Registrar para cada categoria profissional:  o número de profissionais, a carga horária semanal efetiva, a carga horária reservada para educação permanente dos profissionais e para atividades administrativas</t>
  </si>
  <si>
    <t>Passo 2: Cadastro</t>
  </si>
  <si>
    <t>A planilha vai calcular o número total de atividades e retirar as sobreposições</t>
  </si>
  <si>
    <t>Tempo médio de atendimento:</t>
  </si>
  <si>
    <t>A partir dos parâmetros epidemiológicos para estimativa das subpopulações alvo, apresentados nas tabelas a planilha irá calcular a população estimada total e segundo os estratos de risco.</t>
  </si>
  <si>
    <t>A equipe deverá registrar, para cada subpopulação, o quantitativo de usuários que já estão sendo acompanhados</t>
  </si>
  <si>
    <t>A planilha irá calcular o percentual de cobertura atual da subpopulação pela equipe.</t>
  </si>
  <si>
    <t>A equipe deverá registrar a meta de cobertura populacional para a programação anual</t>
  </si>
  <si>
    <t>A planilha irá calcular número total de usuários programados.</t>
  </si>
  <si>
    <t>Para os Usuários com fatores de isco proximais a equipe também deverá inserir o quantitativo estimado de ações coletivas a serem realizadas para cada subpopulação no período programado.</t>
  </si>
  <si>
    <t>A planilha irá calcular, utilizando os parâmetros assistencias apresentados abaixo, que foram retirados das Notas Técnicas do planificaSUS e outras Diretrizes Clínicas:</t>
  </si>
  <si>
    <t>O numero de primeiros atendimentos</t>
  </si>
  <si>
    <t>O númeto total de atendimentos subsequentes</t>
  </si>
  <si>
    <t>O número de visitas domiciliares</t>
  </si>
  <si>
    <t>O número de atendimentos odontológicos</t>
  </si>
  <si>
    <t>O número de atividades preventivas em grupos</t>
  </si>
  <si>
    <t>O número de avaliações do pé- diabético</t>
  </si>
  <si>
    <t>Os passos seguintes serão realizado automaticamente pela planilha</t>
  </si>
  <si>
    <t>A planilha irá calcular e retirar sobreposições de atendimentos e visitas domiciliares e atividades em grupo</t>
  </si>
  <si>
    <t>A planilha ira resgatar o registro do número de profissionais contratados e a carga horária semanal, para cada categoria profissional listada que foi feito na Aba "Equipe".</t>
  </si>
  <si>
    <t>Também será resgatado o número de horas utilizado semanalmente para atividades administrativas e para educação permanente dos profissionais.</t>
  </si>
  <si>
    <t xml:space="preserve">CONSTRUÇÃO DA AGENDA DA EQUIPE </t>
  </si>
  <si>
    <t>PROGRAMAÇÃO DA ATENÇÃO AMBULATORIAL ESPECIALIZADA</t>
  </si>
  <si>
    <t xml:space="preserve"> PROGRAMAÇÃO DOS EXAMES DE APOIO DIAGNÓSTICO</t>
  </si>
  <si>
    <t xml:space="preserve"> PARÂMETROS UTILIZADOS PARA A PROGRAMAÇÃO ASSISTENCIAL</t>
  </si>
  <si>
    <t>MS | Caderno de Atenção Básica 33 - 2012</t>
  </si>
  <si>
    <t>Nota Técnica "Saúde da Pessoa Idosa"  PlanificaSUS - 2019</t>
  </si>
  <si>
    <t>Programação das Ações de Prevenção</t>
  </si>
  <si>
    <r>
      <t>100% das mulheres na faixa etária de 50 a 69 anos realizam mamografia a cada 2 anos (</t>
    </r>
    <r>
      <rPr>
        <u/>
        <sz val="10"/>
        <color indexed="8"/>
        <rFont val="Calibri"/>
        <family val="2"/>
      </rPr>
      <t>ou seja: 50% a cada ano</t>
    </r>
    <r>
      <rPr>
        <sz val="10"/>
        <color indexed="8"/>
        <rFont val="Calibri"/>
        <family val="2"/>
      </rPr>
      <t>)</t>
    </r>
  </si>
  <si>
    <r>
      <t xml:space="preserve">100% das mulheres entre 25 e 64 anos realiza o exame a cada três anos </t>
    </r>
    <r>
      <rPr>
        <u/>
        <sz val="10"/>
        <color indexed="8"/>
        <rFont val="Calibri"/>
        <family val="2"/>
      </rPr>
      <t>(ou seja: 33,3% a cada ano</t>
    </r>
    <r>
      <rPr>
        <sz val="10"/>
        <color indexed="8"/>
        <rFont val="Calibri"/>
        <family val="2"/>
      </rPr>
      <t>).</t>
    </r>
  </si>
  <si>
    <r>
      <t xml:space="preserve">Dimensionamento da necessidade de saúde expressa como número estimado de </t>
    </r>
    <r>
      <rPr>
        <u/>
        <sz val="11"/>
        <color indexed="8"/>
        <rFont val="Calibri"/>
        <family val="2"/>
      </rPr>
      <t>usuários com fatores de risco proximais</t>
    </r>
    <r>
      <rPr>
        <sz val="11"/>
        <color indexed="8"/>
        <rFont val="Calibri"/>
        <family val="2"/>
      </rPr>
      <t>.</t>
    </r>
  </si>
  <si>
    <t>Fontes:</t>
  </si>
  <si>
    <t>Total de usuários Idosos</t>
  </si>
  <si>
    <t>Usuários cadastrados com idade maior ou igual a 60 anos</t>
  </si>
  <si>
    <t>Amarela</t>
  </si>
  <si>
    <t>médico</t>
  </si>
  <si>
    <t>segunda</t>
  </si>
  <si>
    <t>terça</t>
  </si>
  <si>
    <t>quarta</t>
  </si>
  <si>
    <t>quinta</t>
  </si>
  <si>
    <t>sexta</t>
  </si>
  <si>
    <t>enfermeiro</t>
  </si>
  <si>
    <t>dentista</t>
  </si>
  <si>
    <t>DE</t>
  </si>
  <si>
    <t>almoço</t>
  </si>
  <si>
    <t>S</t>
  </si>
  <si>
    <t>T</t>
  </si>
  <si>
    <t>Q</t>
  </si>
  <si>
    <t>pré-natal</t>
  </si>
  <si>
    <t>puérpera</t>
  </si>
  <si>
    <t>criança 1x</t>
  </si>
  <si>
    <t>pré-natal 1x</t>
  </si>
  <si>
    <t>criança</t>
  </si>
  <si>
    <t>HAS</t>
  </si>
  <si>
    <t>HAS 1x</t>
  </si>
  <si>
    <t>DM 1x</t>
  </si>
  <si>
    <t>DM</t>
  </si>
  <si>
    <t>Idoso 1x</t>
  </si>
  <si>
    <t>Idoso</t>
  </si>
  <si>
    <t>Mulher 1x</t>
  </si>
  <si>
    <t>Mental 1x</t>
  </si>
  <si>
    <t>Mental</t>
  </si>
  <si>
    <t>EPS</t>
  </si>
  <si>
    <t>Adm</t>
  </si>
  <si>
    <t>VD</t>
  </si>
  <si>
    <t>criança consulta coletiva</t>
  </si>
  <si>
    <t>mental</t>
  </si>
  <si>
    <t>Reunião equipe</t>
  </si>
  <si>
    <t>4h adm</t>
  </si>
  <si>
    <t>mulher</t>
  </si>
  <si>
    <t>Pé DM</t>
  </si>
  <si>
    <t>G Sobrepeso</t>
  </si>
  <si>
    <t>G Tabagismo</t>
  </si>
  <si>
    <t>G Álcool</t>
  </si>
  <si>
    <t>PSE</t>
  </si>
  <si>
    <t>Gestante</t>
  </si>
  <si>
    <t xml:space="preserve">HAS </t>
  </si>
  <si>
    <t>HAS consulta coletiva</t>
  </si>
  <si>
    <r>
      <t xml:space="preserve">Subpopulação </t>
    </r>
    <r>
      <rPr>
        <sz val="10"/>
        <color indexed="8"/>
        <rFont val="Calibri"/>
        <family val="2"/>
      </rPr>
      <t>≥ 20 anos</t>
    </r>
    <r>
      <rPr>
        <sz val="10"/>
        <color indexed="8"/>
        <rFont val="Calibri"/>
        <family val="2"/>
      </rPr>
      <t xml:space="preserve"> em seus contextos de vida, sem manifestações específicas de transtornos mentais, podendo apresentar sofrimento emocional com graus de intensidade variavel</t>
    </r>
  </si>
  <si>
    <t>da pop. cadastrada</t>
  </si>
  <si>
    <t>da pop. com TM</t>
  </si>
  <si>
    <t>PARÂMETRO DE PREVALÊNCIA</t>
  </si>
  <si>
    <t>N.</t>
  </si>
  <si>
    <t>POPULAÇÃO ESTIMADA</t>
  </si>
  <si>
    <t>POP. ACOMPANHADA</t>
  </si>
  <si>
    <t>POP. PROGRAMADA</t>
  </si>
  <si>
    <t>POPULAÇÃO ALVO</t>
  </si>
  <si>
    <t>META (%)</t>
  </si>
  <si>
    <t>VISITA DOMICILIAR PELO ACS</t>
  </si>
  <si>
    <t>ATIVIDADE EM GRUPO PELA eSF ou NASF</t>
  </si>
  <si>
    <t>CONSULTA COM MÉDICO</t>
  </si>
  <si>
    <t>CONSULTA COM ENFERMEIRO</t>
  </si>
  <si>
    <t>1a consulta</t>
  </si>
  <si>
    <t>Toda as pessoas cadastradas devem ser beneficiadas com atenção integral à pessoa (incluindo abordagens em saúde mental) pela eSF, nos atendimentos individualizados e em grupos interdisciplinares e/ou intersetoriais com participação do médico e enfermeiro em pelo menos 1 grupo semanal, além de inserção em atividades comunitárias.</t>
  </si>
  <si>
    <t>Subpop 1</t>
  </si>
  <si>
    <t>Subpop 2</t>
  </si>
  <si>
    <t>Subpop 3</t>
  </si>
  <si>
    <t>TOTAL SM</t>
  </si>
  <si>
    <t>Obs.: estima-se um percentual de comorbidades entre o TM e DM, HA e outras morbidades para as quais é indicado uma atenção integral da pessoa, que responda às suas várias necessidades.
A programação relativa a esse percentual será subtraída do montante programado para as ações da SM:</t>
  </si>
  <si>
    <t>Usuários com transtornos mentais com necessidade de média e alta intensidade de cuidados individualizados</t>
  </si>
  <si>
    <r>
      <t xml:space="preserve">Subpopulação ≥ 20 anos com necessidade de </t>
    </r>
    <r>
      <rPr>
        <b/>
        <sz val="10"/>
        <color indexed="8"/>
        <rFont val="Calibri"/>
        <family val="2"/>
      </rPr>
      <t>baixa</t>
    </r>
    <r>
      <rPr>
        <sz val="10"/>
        <color indexed="8"/>
        <rFont val="Calibri"/>
        <family val="2"/>
      </rPr>
      <t xml:space="preserve"> intensidade de cuidados individualizados pela eSF e sem necessidade de cuidados especializados</t>
    </r>
    <r>
      <rPr>
        <sz val="10"/>
        <color indexed="8"/>
        <rFont val="Calibri"/>
        <family val="2"/>
      </rPr>
      <t xml:space="preserve"> (equivale as pessoas usuárias com baixa NCSM)</t>
    </r>
  </si>
  <si>
    <r>
      <t xml:space="preserve">Subpopulação ≥ 20 anos com necessidade de </t>
    </r>
    <r>
      <rPr>
        <b/>
        <sz val="10"/>
        <color indexed="8"/>
        <rFont val="Calibri"/>
        <family val="2"/>
      </rPr>
      <t>baixa</t>
    </r>
    <r>
      <rPr>
        <sz val="10"/>
        <color indexed="8"/>
        <rFont val="Calibri"/>
        <family val="2"/>
      </rPr>
      <t xml:space="preserve"> intensidade de cuidados individualizados pela eSF compartilhado com equipe  multiprofissional da APS</t>
    </r>
    <r>
      <rPr>
        <sz val="10"/>
        <color indexed="8"/>
        <rFont val="Calibri"/>
        <family val="2"/>
      </rPr>
      <t xml:space="preserve"> (equivale as pessoas usuárias com moderada NCSM)</t>
    </r>
  </si>
  <si>
    <r>
      <t xml:space="preserve">Subpopulação ≥ 20 anos com necessidade de </t>
    </r>
    <r>
      <rPr>
        <b/>
        <sz val="10"/>
        <color indexed="8"/>
        <rFont val="Calibri"/>
        <family val="2"/>
      </rPr>
      <t>média</t>
    </r>
    <r>
      <rPr>
        <sz val="10"/>
        <color indexed="8"/>
        <rFont val="Calibri"/>
        <family val="2"/>
      </rPr>
      <t xml:space="preserve"> intensidade de cuidados individualizados </t>
    </r>
    <r>
      <rPr>
        <sz val="10"/>
        <color indexed="8"/>
        <rFont val="Calibri"/>
        <family val="2"/>
      </rPr>
      <t>com</t>
    </r>
    <r>
      <rPr>
        <sz val="10"/>
        <color indexed="8"/>
        <rFont val="Calibri"/>
        <family val="2"/>
      </rPr>
      <t xml:space="preserve"> necessidade de cuidados especializados</t>
    </r>
    <r>
      <rPr>
        <sz val="10"/>
        <color indexed="8"/>
        <rFont val="Calibri"/>
        <family val="2"/>
      </rPr>
      <t xml:space="preserve"> (equivale as pessoas usuárias com alta NCSM)</t>
    </r>
  </si>
  <si>
    <r>
      <t xml:space="preserve">Subpopulação ≥ 20 anos com necessidade de </t>
    </r>
    <r>
      <rPr>
        <b/>
        <sz val="10"/>
        <color indexed="8"/>
        <rFont val="Calibri"/>
        <family val="2"/>
      </rPr>
      <t xml:space="preserve">alta </t>
    </r>
    <r>
      <rPr>
        <sz val="10"/>
        <color indexed="8"/>
        <rFont val="Calibri"/>
        <family val="2"/>
      </rPr>
      <t xml:space="preserve">intensidade de cuidados individualizados e com necessidade de uma </t>
    </r>
    <r>
      <rPr>
        <b/>
        <sz val="10"/>
        <color indexed="8"/>
        <rFont val="Calibri"/>
        <family val="2"/>
      </rPr>
      <t>maior amplitude</t>
    </r>
    <r>
      <rPr>
        <sz val="10"/>
        <color indexed="8"/>
        <rFont val="Calibri"/>
        <family val="2"/>
      </rPr>
      <t xml:space="preserve"> de cuidados especializados </t>
    </r>
    <r>
      <rPr>
        <sz val="10"/>
        <color indexed="8"/>
        <rFont val="Calibri"/>
        <family val="2"/>
      </rPr>
      <t>(equivale as pessoas usuárias com altíssima NCSM)</t>
    </r>
  </si>
  <si>
    <t>Comorbidade com HAS/DM:</t>
  </si>
  <si>
    <t>Subpopulação ≥ 20 anos em seus contextos de vida, sem manifestações específicas de transtornos mentais, podendo apresentar sofrimento emocional com graus de intensidade variavel</t>
  </si>
  <si>
    <r>
      <t xml:space="preserve">Subpopulação ≥ 20 anos com necessidade de </t>
    </r>
    <r>
      <rPr>
        <b/>
        <sz val="10"/>
        <color indexed="8"/>
        <rFont val="Calibri"/>
        <family val="2"/>
      </rPr>
      <t>baixa</t>
    </r>
    <r>
      <rPr>
        <sz val="10"/>
        <color indexed="8"/>
        <rFont val="Calibri"/>
        <family val="2"/>
      </rPr>
      <t xml:space="preserve"> intensidade de cuidados individualizados pela eSF e sem necessidade de cuidados especializados (equivale as pessoas usuárias com baixa NCSM)</t>
    </r>
  </si>
  <si>
    <r>
      <t xml:space="preserve">Subpopulação ≥ 20 anos com necessidade de </t>
    </r>
    <r>
      <rPr>
        <b/>
        <sz val="10"/>
        <color indexed="8"/>
        <rFont val="Calibri"/>
        <family val="2"/>
      </rPr>
      <t>baixa</t>
    </r>
    <r>
      <rPr>
        <sz val="10"/>
        <color indexed="8"/>
        <rFont val="Calibri"/>
        <family val="2"/>
      </rPr>
      <t xml:space="preserve"> intensidade de cuidados individualizados pela eSF compartilhado com equipe  multiprofissional da APS (equivale as pessoas usuárias com moderada NCSM)</t>
    </r>
  </si>
  <si>
    <r>
      <t xml:space="preserve">Subpopulação ≥ 20 anos com necessidade de </t>
    </r>
    <r>
      <rPr>
        <b/>
        <sz val="10"/>
        <color indexed="8"/>
        <rFont val="Calibri"/>
        <family val="2"/>
      </rPr>
      <t>média</t>
    </r>
    <r>
      <rPr>
        <sz val="10"/>
        <color indexed="8"/>
        <rFont val="Calibri"/>
        <family val="2"/>
      </rPr>
      <t xml:space="preserve"> intensidade de cuidados individualizados com necessidade de cuidados especializados (equivale as pessoas usuárias com alta NCSM)</t>
    </r>
  </si>
  <si>
    <r>
      <t xml:space="preserve">Subpopulação ≥ 20 anos com necessidade de </t>
    </r>
    <r>
      <rPr>
        <b/>
        <sz val="10"/>
        <color indexed="8"/>
        <rFont val="Calibri"/>
        <family val="2"/>
      </rPr>
      <t>alta</t>
    </r>
    <r>
      <rPr>
        <sz val="10"/>
        <color indexed="8"/>
        <rFont val="Calibri"/>
        <family val="2"/>
      </rPr>
      <t xml:space="preserve"> intensidade de cuidados individualizados e com necessidade de uma maior amplitude de cuidados especializados (equivale as pessoas usuárias com altíssima NCSM)</t>
    </r>
  </si>
  <si>
    <t>Subpopulação ≥ 20 anos com manifestação de algum transtorno mental, subdividida em quatro grupos, de acordo com a intensidade de cuidados individualizados necessária e a necessidade de cuidados especializados</t>
  </si>
  <si>
    <t>Subpop 4</t>
  </si>
  <si>
    <t>SM HAS/DM</t>
  </si>
  <si>
    <t>Passo 4: DEFINIÇÕES SOBRE A PROGRAMAÇÃO EM SAÚDE MENTAL</t>
  </si>
  <si>
    <t>A programação será completa para todos os ciclos de vida e condições de saúde?</t>
  </si>
  <si>
    <t>PROGRAMAÇÃO EM SAÚDE MENTAL</t>
  </si>
  <si>
    <t>SIM</t>
  </si>
  <si>
    <t>NÃO</t>
  </si>
  <si>
    <t>Na região de saude existe ambulatório de Saúde Mental?</t>
  </si>
  <si>
    <t>Outras atividades</t>
  </si>
  <si>
    <t>Atendimento Compart. SM</t>
  </si>
  <si>
    <r>
      <rPr>
        <b/>
        <sz val="5.5"/>
        <rFont val="Calibri"/>
        <family val="2"/>
        <scheme val="minor"/>
      </rPr>
      <t>CH</t>
    </r>
    <r>
      <rPr>
        <sz val="5.5"/>
        <rFont val="Calibri"/>
        <family val="2"/>
        <scheme val="minor"/>
      </rPr>
      <t xml:space="preserve">
</t>
    </r>
    <r>
      <rPr>
        <sz val="5.5"/>
        <rFont val="Calibri"/>
        <family val="2"/>
      </rPr>
      <t>(horas/semana)</t>
    </r>
  </si>
  <si>
    <r>
      <rPr>
        <b/>
        <sz val="5.5"/>
        <rFont val="Calibri"/>
        <family val="2"/>
        <scheme val="minor"/>
      </rPr>
      <t>CH</t>
    </r>
    <r>
      <rPr>
        <sz val="5.5"/>
        <rFont val="Calibri"/>
        <family val="2"/>
        <scheme val="minor"/>
      </rPr>
      <t xml:space="preserve">
(horas/semana)</t>
    </r>
  </si>
  <si>
    <t>Maria Joana</t>
  </si>
  <si>
    <t>Planópolis</t>
  </si>
  <si>
    <t>Bosque da Saúde</t>
  </si>
  <si>
    <t>ALTISSIMA NCSM</t>
  </si>
  <si>
    <t>ALTA NCSM</t>
  </si>
  <si>
    <t>MODERADA NCSM</t>
  </si>
  <si>
    <t>BAIXA NCSM</t>
  </si>
  <si>
    <t>ATIVIDADES ADMINISTRATIVAS</t>
  </si>
  <si>
    <t>CH SEMANAL TOTAL PARA EDUCAÇÃO PERMANENTE</t>
  </si>
  <si>
    <t>CH SEMANAL PARA ATEND. COMPART. SM (DO TOTAL DA CH SEMANAL DE EDUCA PERMANENTE)</t>
  </si>
  <si>
    <t>Recomenda-se que a CH semanal para atendimento compartilhado em saúde mental seja registrada a partir da CH semanal destinada para educação permanente.
Deve-se destinar, no mínimo, 4 horas mensais para atendimento compartilhado em saúde mental por equipe. Esta CH pode ser dividida em 1h/semana ou a critério da equipe.</t>
  </si>
  <si>
    <t xml:space="preserve">Para consultar os parâmetros para programação do cuidado em Saúde Mental clicar no link acima.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</si>
</sst>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R$ &quot;* #,##0.00_);_(&quot;R$ &quot;* \(#,##0.00\);_(&quot;R$ &quot;* &quot;-&quot;??_);_(@_)"/>
    <numFmt numFmtId="166" formatCode="0.0%"/>
    <numFmt numFmtId="167" formatCode="0.0"/>
    <numFmt numFmtId="168" formatCode="#,##0.0"/>
    <numFmt numFmtId="169" formatCode="#,##0_ ;\-#,##0\ "/>
    <numFmt numFmtId="170" formatCode="_(* #,##0_);_(* \(#,##0\);_(* &quot;-&quot;??_);_(@_)"/>
  </numFmts>
  <fonts count="77" x14ac:knownFonts="1">
    <font>
      <sz val="11"/>
      <color theme="1"/>
      <name val="Arial"/>
      <family val="2"/>
    </font>
    <font>
      <sz val="11"/>
      <color indexed="8"/>
      <name val="Calibri"/>
      <family val="2"/>
    </font>
    <font>
      <sz val="9"/>
      <name val="Verdana"/>
      <family val="2"/>
    </font>
    <font>
      <sz val="8"/>
      <name val="Arial"/>
      <family val="2"/>
    </font>
    <font>
      <sz val="11"/>
      <name val="Arial"/>
      <family val="2"/>
    </font>
    <font>
      <vertAlign val="superscript"/>
      <sz val="11"/>
      <color indexed="8"/>
      <name val="Courier New"/>
      <family val="3"/>
    </font>
    <font>
      <u/>
      <sz val="11"/>
      <color indexed="8"/>
      <name val="Calibri"/>
      <family val="2"/>
    </font>
    <font>
      <vertAlign val="superscript"/>
      <sz val="10"/>
      <color indexed="8"/>
      <name val="Calibri"/>
      <family val="2"/>
    </font>
    <font>
      <sz val="11"/>
      <color indexed="8"/>
      <name val="Arial"/>
      <family val="2"/>
    </font>
    <font>
      <sz val="10"/>
      <color indexed="8"/>
      <name val="Calibri"/>
      <family val="2"/>
    </font>
    <font>
      <b/>
      <sz val="11"/>
      <color indexed="8"/>
      <name val="Arial"/>
      <family val="2"/>
    </font>
    <font>
      <u/>
      <sz val="11"/>
      <color indexed="8"/>
      <name val="Arial"/>
      <family val="2"/>
    </font>
    <font>
      <u/>
      <sz val="10"/>
      <color indexed="8"/>
      <name val="Calibri"/>
      <family val="2"/>
    </font>
    <font>
      <sz val="8"/>
      <name val="Calibri"/>
      <family val="2"/>
    </font>
    <font>
      <b/>
      <sz val="11"/>
      <color indexed="8"/>
      <name val="Calibri"/>
      <family val="2"/>
    </font>
    <font>
      <b/>
      <sz val="12"/>
      <color indexed="19"/>
      <name val="Calibri"/>
      <family val="2"/>
    </font>
    <font>
      <vertAlign val="superscript"/>
      <sz val="9"/>
      <name val="Calibri"/>
      <family val="2"/>
    </font>
    <font>
      <vertAlign val="superscript"/>
      <sz val="12"/>
      <name val="Calibri"/>
      <family val="2"/>
    </font>
    <font>
      <sz val="9"/>
      <color indexed="81"/>
      <name val="Segoe UI"/>
      <family val="2"/>
    </font>
    <font>
      <b/>
      <sz val="9"/>
      <color indexed="81"/>
      <name val="Segoe UI"/>
      <family val="2"/>
    </font>
    <font>
      <sz val="10"/>
      <name val="Calibri"/>
      <family val="2"/>
    </font>
    <font>
      <b/>
      <sz val="10"/>
      <name val="Calibri"/>
      <family val="2"/>
    </font>
    <font>
      <b/>
      <sz val="16"/>
      <name val="Calibri"/>
      <family val="2"/>
    </font>
    <font>
      <vertAlign val="superscript"/>
      <sz val="10"/>
      <name val="Calibri"/>
      <family val="2"/>
    </font>
    <font>
      <sz val="8"/>
      <color indexed="8"/>
      <name val="Calibri"/>
      <family val="2"/>
    </font>
    <font>
      <b/>
      <u/>
      <sz val="11"/>
      <color indexed="8"/>
      <name val="Arial"/>
      <family val="2"/>
    </font>
    <font>
      <b/>
      <sz val="10"/>
      <color indexed="8"/>
      <name val="Calibri"/>
      <family val="2"/>
    </font>
    <font>
      <sz val="11"/>
      <color theme="1"/>
      <name val="Arial"/>
      <family val="2"/>
    </font>
    <font>
      <sz val="11"/>
      <color theme="1"/>
      <name val="Calibri"/>
      <family val="2"/>
      <scheme val="minor"/>
    </font>
    <font>
      <sz val="11"/>
      <color theme="0"/>
      <name val="Calibri"/>
      <family val="2"/>
      <scheme val="minor"/>
    </font>
    <font>
      <u/>
      <sz val="11"/>
      <color theme="10"/>
      <name val="Arial"/>
      <family val="2"/>
    </font>
    <font>
      <sz val="11"/>
      <color rgb="FFFF0000"/>
      <name val="Calibri"/>
      <family val="2"/>
      <scheme val="minor"/>
    </font>
    <font>
      <b/>
      <sz val="11"/>
      <color theme="1"/>
      <name val="Calibri"/>
      <family val="2"/>
      <scheme val="minor"/>
    </font>
    <font>
      <sz val="10"/>
      <name val="Calibri"/>
      <family val="2"/>
      <scheme val="minor"/>
    </font>
    <font>
      <b/>
      <sz val="12"/>
      <color theme="1"/>
      <name val="Calibri"/>
      <family val="2"/>
      <scheme val="minor"/>
    </font>
    <font>
      <b/>
      <sz val="14"/>
      <color theme="1"/>
      <name val="Calibri"/>
      <family val="2"/>
      <scheme val="minor"/>
    </font>
    <font>
      <b/>
      <sz val="16"/>
      <color theme="5" tint="-0.249977111117893"/>
      <name val="Calibri"/>
      <family val="2"/>
      <scheme val="minor"/>
    </font>
    <font>
      <sz val="11"/>
      <color rgb="FFFF0000"/>
      <name val="Arial"/>
      <family val="2"/>
    </font>
    <font>
      <sz val="10"/>
      <color theme="1"/>
      <name val="Calibri"/>
      <family val="2"/>
      <scheme val="minor"/>
    </font>
    <font>
      <b/>
      <sz val="11"/>
      <color theme="1"/>
      <name val="Arial"/>
      <family val="2"/>
    </font>
    <font>
      <u/>
      <sz val="10"/>
      <color theme="10"/>
      <name val="Calibri"/>
      <family val="2"/>
      <scheme val="minor"/>
    </font>
    <font>
      <b/>
      <sz val="10"/>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0"/>
      <color rgb="FFFF0000"/>
      <name val="Calibri"/>
      <family val="2"/>
      <scheme val="minor"/>
    </font>
    <font>
      <b/>
      <sz val="10"/>
      <name val="Calibri"/>
      <family val="2"/>
      <scheme val="minor"/>
    </font>
    <font>
      <sz val="9"/>
      <name val="Calibri"/>
      <family val="2"/>
      <scheme val="minor"/>
    </font>
    <font>
      <sz val="8"/>
      <name val="Calibri"/>
      <family val="2"/>
      <scheme val="minor"/>
    </font>
    <font>
      <sz val="12"/>
      <name val="Calibri"/>
      <family val="2"/>
      <scheme val="minor"/>
    </font>
    <font>
      <sz val="12"/>
      <color rgb="FFFF0000"/>
      <name val="Calibri"/>
      <family val="2"/>
      <scheme val="minor"/>
    </font>
    <font>
      <b/>
      <sz val="20"/>
      <name val="Calibri"/>
      <family val="2"/>
      <scheme val="minor"/>
    </font>
    <font>
      <b/>
      <sz val="10"/>
      <color indexed="8"/>
      <name val="Calibri"/>
      <family val="2"/>
      <scheme val="minor"/>
    </font>
    <font>
      <sz val="10"/>
      <color indexed="8"/>
      <name val="Calibri"/>
      <family val="2"/>
      <scheme val="minor"/>
    </font>
    <font>
      <sz val="10"/>
      <color theme="1"/>
      <name val="Arial"/>
      <family val="2"/>
    </font>
    <font>
      <b/>
      <sz val="16"/>
      <name val="Calibri"/>
      <family val="2"/>
      <scheme val="minor"/>
    </font>
    <font>
      <b/>
      <sz val="10"/>
      <color rgb="FFFF0000"/>
      <name val="Calibri"/>
      <family val="2"/>
      <scheme val="minor"/>
    </font>
    <font>
      <b/>
      <sz val="12"/>
      <name val="Calibri"/>
      <family val="2"/>
      <scheme val="minor"/>
    </font>
    <font>
      <sz val="12"/>
      <color theme="1"/>
      <name val="Calibri"/>
      <family val="2"/>
      <scheme val="minor"/>
    </font>
    <font>
      <b/>
      <sz val="12"/>
      <color theme="5" tint="-0.249977111117893"/>
      <name val="Calibri"/>
      <family val="2"/>
      <scheme val="minor"/>
    </font>
    <font>
      <sz val="10"/>
      <color rgb="FFE20000"/>
      <name val="Calibri"/>
      <family val="2"/>
      <scheme val="minor"/>
    </font>
    <font>
      <b/>
      <sz val="24"/>
      <color theme="8" tint="-0.499984740745262"/>
      <name val="Calibri"/>
      <family val="2"/>
      <scheme val="minor"/>
    </font>
    <font>
      <sz val="16"/>
      <color rgb="FFFF0000"/>
      <name val="Calibri"/>
      <family val="2"/>
      <scheme val="minor"/>
    </font>
    <font>
      <sz val="8"/>
      <color theme="1"/>
      <name val="Calibri"/>
      <family val="2"/>
      <scheme val="minor"/>
    </font>
    <font>
      <sz val="11"/>
      <color indexed="8"/>
      <name val="Calibri"/>
      <family val="2"/>
      <scheme val="minor"/>
    </font>
    <font>
      <b/>
      <sz val="11"/>
      <color indexed="8"/>
      <name val="Calibri"/>
      <family val="2"/>
      <scheme val="minor"/>
    </font>
    <font>
      <sz val="9"/>
      <color theme="1"/>
      <name val="Calibri"/>
      <family val="2"/>
      <scheme val="minor"/>
    </font>
    <font>
      <b/>
      <sz val="10"/>
      <color rgb="FFE20000"/>
      <name val="Calibri"/>
      <family val="2"/>
      <scheme val="minor"/>
    </font>
    <font>
      <b/>
      <sz val="9"/>
      <name val="Calibri"/>
      <family val="2"/>
      <scheme val="minor"/>
    </font>
    <font>
      <b/>
      <sz val="10.5"/>
      <name val="Calibri"/>
      <family val="2"/>
      <scheme val="minor"/>
    </font>
    <font>
      <sz val="11"/>
      <color rgb="FFE20000"/>
      <name val="Calibri"/>
      <family val="2"/>
      <scheme val="minor"/>
    </font>
    <font>
      <b/>
      <sz val="6"/>
      <name val="Calibri"/>
      <family val="2"/>
      <scheme val="minor"/>
    </font>
    <font>
      <sz val="5.5"/>
      <name val="Calibri"/>
      <family val="2"/>
      <scheme val="minor"/>
    </font>
    <font>
      <b/>
      <sz val="5.5"/>
      <name val="Calibri"/>
      <family val="2"/>
      <scheme val="minor"/>
    </font>
    <font>
      <sz val="5.5"/>
      <name val="Calibri"/>
      <family val="2"/>
    </font>
    <font>
      <sz val="10"/>
      <color theme="5" tint="-0.249977111117893"/>
      <name val="Calibri"/>
      <family val="2"/>
      <scheme val="minor"/>
    </font>
    <font>
      <u/>
      <sz val="9"/>
      <color theme="10"/>
      <name val="Arial"/>
      <family val="2"/>
    </font>
  </fonts>
  <fills count="2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6DBDA"/>
        <bgColor indexed="64"/>
      </patternFill>
    </fill>
    <fill>
      <patternFill patternType="solid">
        <fgColor rgb="FF92D050"/>
        <bgColor indexed="64"/>
      </patternFill>
    </fill>
    <fill>
      <patternFill patternType="solid">
        <fgColor theme="6" tint="-0.249977111117893"/>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9"/>
        <bgColor indexed="64"/>
      </patternFill>
    </fill>
    <fill>
      <patternFill patternType="solid">
        <fgColor theme="0" tint="-0.14999847407452621"/>
        <bgColor indexed="64"/>
      </patternFill>
    </fill>
    <fill>
      <patternFill patternType="solid">
        <fgColor rgb="FF00B05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7030A0"/>
        <bgColor indexed="64"/>
      </patternFill>
    </fill>
    <fill>
      <patternFill patternType="solid">
        <fgColor theme="2" tint="-0.499984740745262"/>
        <bgColor indexed="64"/>
      </patternFill>
    </fill>
    <fill>
      <patternFill patternType="solid">
        <fgColor theme="5" tint="-0.249977111117893"/>
        <bgColor indexed="64"/>
      </patternFill>
    </fill>
    <fill>
      <patternFill patternType="solid">
        <fgColor theme="3" tint="0.39997558519241921"/>
        <bgColor indexed="64"/>
      </patternFill>
    </fill>
    <fill>
      <patternFill patternType="solid">
        <fgColor rgb="FFFF00FF"/>
        <bgColor indexed="64"/>
      </patternFill>
    </fill>
    <fill>
      <patternFill patternType="solid">
        <fgColor rgb="FFFFFF66"/>
        <bgColor indexed="64"/>
      </patternFill>
    </fill>
    <fill>
      <patternFill patternType="solid">
        <fgColor theme="5" tint="0.79998168889431442"/>
        <bgColor indexed="64"/>
      </patternFill>
    </fill>
    <fill>
      <patternFill patternType="solid">
        <fgColor theme="0" tint="-4.9989318521683403E-2"/>
        <bgColor indexed="64"/>
      </patternFill>
    </fill>
  </fills>
  <borders count="236">
    <border>
      <left/>
      <right/>
      <top/>
      <bottom/>
      <diagonal/>
    </border>
    <border>
      <left style="hair">
        <color indexed="64"/>
      </left>
      <right style="hair">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medium">
        <color indexed="9"/>
      </top>
      <bottom/>
      <diagonal/>
    </border>
    <border>
      <left/>
      <right style="thin">
        <color indexed="64"/>
      </right>
      <top/>
      <bottom style="thin">
        <color indexed="64"/>
      </bottom>
      <diagonal/>
    </border>
    <border>
      <left/>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9"/>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medium">
        <color indexed="9"/>
      </left>
      <right/>
      <top style="medium">
        <color indexed="9"/>
      </top>
      <bottom/>
      <diagonal/>
    </border>
    <border>
      <left/>
      <right style="thin">
        <color indexed="64"/>
      </right>
      <top style="hair">
        <color indexed="64"/>
      </top>
      <bottom/>
      <diagonal/>
    </border>
    <border>
      <left style="thin">
        <color theme="3" tint="0.59996337778862885"/>
      </left>
      <right/>
      <top style="thin">
        <color theme="3" tint="0.59996337778862885"/>
      </top>
      <bottom style="thin">
        <color theme="3" tint="0.59996337778862885"/>
      </bottom>
      <diagonal/>
    </border>
    <border>
      <left style="thin">
        <color theme="3" tint="0.39997558519241921"/>
      </left>
      <right/>
      <top style="thin">
        <color theme="3" tint="0.39997558519241921"/>
      </top>
      <bottom style="thin">
        <color theme="3" tint="0.39997558519241921"/>
      </bottom>
      <diagonal/>
    </border>
    <border>
      <left style="thin">
        <color theme="3" tint="0.39997558519241921"/>
      </left>
      <right/>
      <top/>
      <bottom style="thin">
        <color theme="3" tint="0.39997558519241921"/>
      </bottom>
      <diagonal/>
    </border>
    <border>
      <left style="thin">
        <color theme="3" tint="0.39997558519241921"/>
      </left>
      <right/>
      <top style="thin">
        <color theme="3" tint="0.39997558519241921"/>
      </top>
      <bottom/>
      <diagonal/>
    </border>
    <border>
      <left/>
      <right/>
      <top style="thin">
        <color theme="3" tint="0.39997558519241921"/>
      </top>
      <bottom style="thin">
        <color theme="3" tint="0.39997558519241921"/>
      </bottom>
      <diagonal/>
    </border>
    <border>
      <left/>
      <right style="thin">
        <color theme="3" tint="0.59996337778862885"/>
      </right>
      <top/>
      <bottom/>
      <diagonal/>
    </border>
    <border>
      <left/>
      <right style="thin">
        <color theme="3" tint="0.39997558519241921"/>
      </right>
      <top style="thin">
        <color theme="3" tint="0.39997558519241921"/>
      </top>
      <bottom style="thin">
        <color theme="3" tint="0.39997558519241921"/>
      </bottom>
      <diagonal/>
    </border>
    <border>
      <left style="thin">
        <color theme="3" tint="0.39997558519241921"/>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right/>
      <top style="medium">
        <color theme="0"/>
      </top>
      <bottom/>
      <diagonal/>
    </border>
    <border>
      <left style="thin">
        <color theme="3" tint="0.39997558519241921"/>
      </left>
      <right/>
      <top/>
      <bottom/>
      <diagonal/>
    </border>
    <border>
      <left style="thick">
        <color theme="8" tint="-0.499984740745262"/>
      </left>
      <right/>
      <top/>
      <bottom/>
      <diagonal/>
    </border>
    <border>
      <left/>
      <right style="thin">
        <color indexed="64"/>
      </right>
      <top style="medium">
        <color theme="0"/>
      </top>
      <bottom/>
      <diagonal/>
    </border>
    <border>
      <left style="medium">
        <color theme="0"/>
      </left>
      <right/>
      <top/>
      <bottom style="thin">
        <color indexed="64"/>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ck">
        <color theme="8" tint="-0.499984740745262"/>
      </top>
      <bottom/>
      <diagonal/>
    </border>
    <border>
      <left style="thin">
        <color theme="4" tint="0.39997558519241921"/>
      </left>
      <right/>
      <top/>
      <bottom/>
      <diagonal/>
    </border>
    <border>
      <left style="thin">
        <color theme="3" tint="0.59999389629810485"/>
      </left>
      <right/>
      <top/>
      <bottom/>
      <diagonal/>
    </border>
    <border>
      <left/>
      <right/>
      <top/>
      <bottom style="medium">
        <color rgb="FF872723"/>
      </bottom>
      <diagonal/>
    </border>
    <border>
      <left/>
      <right/>
      <top/>
      <bottom style="thin">
        <color theme="3" tint="0.59999389629810485"/>
      </bottom>
      <diagonal/>
    </border>
    <border>
      <left style="thin">
        <color theme="4" tint="0.39997558519241921"/>
      </left>
      <right style="thin">
        <color theme="3" tint="0.39997558519241921"/>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3" tint="0.59999389629810485"/>
      </top>
      <bottom/>
      <diagonal/>
    </border>
    <border>
      <left/>
      <right/>
      <top style="thin">
        <color theme="3" tint="0.59999389629810485"/>
      </top>
      <bottom style="thin">
        <color theme="4" tint="0.59999389629810485"/>
      </bottom>
      <diagonal/>
    </border>
    <border>
      <left style="thin">
        <color theme="3" tint="0.59996337778862885"/>
      </left>
      <right style="thin">
        <color theme="3" tint="0.59996337778862885"/>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3" tint="0.59996337778862885"/>
      </left>
      <right/>
      <top/>
      <bottom style="thin">
        <color theme="3" tint="0.59996337778862885"/>
      </bottom>
      <diagonal/>
    </border>
    <border>
      <left style="thin">
        <color theme="3" tint="0.599993896298104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9389629810485"/>
      </right>
      <top style="thin">
        <color theme="3" tint="0.59996337778862885"/>
      </top>
      <bottom style="thin">
        <color theme="3" tint="0.599963377788628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3" tint="0.59999389629810485"/>
      </left>
      <right/>
      <top style="thin">
        <color theme="3" tint="0.59999389629810485"/>
      </top>
      <bottom style="thin">
        <color theme="3" tint="0.59996337778862885"/>
      </bottom>
      <diagonal/>
    </border>
    <border>
      <left/>
      <right/>
      <top style="thin">
        <color theme="3" tint="0.59999389629810485"/>
      </top>
      <bottom style="thin">
        <color theme="3" tint="0.59996337778862885"/>
      </bottom>
      <diagonal/>
    </border>
    <border>
      <left/>
      <right style="thin">
        <color theme="3" tint="0.59999389629810485"/>
      </right>
      <top style="thin">
        <color theme="3" tint="0.599993896298104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thin">
        <color theme="3" tint="0.59996337778862885"/>
      </left>
      <right/>
      <top style="thin">
        <color theme="3" tint="0.59996337778862885"/>
      </top>
      <bottom/>
      <diagonal/>
    </border>
    <border>
      <left/>
      <right/>
      <top style="thin">
        <color theme="3" tint="0.59996337778862885"/>
      </top>
      <bottom/>
      <diagonal/>
    </border>
    <border>
      <left/>
      <right style="thin">
        <color theme="3" tint="0.59996337778862885"/>
      </right>
      <top style="thin">
        <color theme="3" tint="0.59996337778862885"/>
      </top>
      <bottom/>
      <diagonal/>
    </border>
    <border>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top/>
      <bottom/>
      <diagonal/>
    </border>
    <border>
      <left style="thin">
        <color theme="3" tint="0.59999389629810485"/>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top/>
      <bottom style="thin">
        <color theme="3" tint="0.59996337778862885"/>
      </bottom>
      <diagonal/>
    </border>
    <border>
      <left/>
      <right style="thin">
        <color theme="3" tint="0.59999389629810485"/>
      </right>
      <top/>
      <bottom style="thin">
        <color theme="3" tint="0.59996337778862885"/>
      </bottom>
      <diagonal/>
    </border>
    <border>
      <left style="thin">
        <color theme="3" tint="0.59999389629810485"/>
      </left>
      <right/>
      <top/>
      <bottom style="thin">
        <color theme="3" tint="0.59999389629810485"/>
      </bottom>
      <diagonal/>
    </border>
    <border>
      <left/>
      <right style="thin">
        <color theme="3" tint="0.59999389629810485"/>
      </right>
      <top/>
      <bottom style="thin">
        <color theme="3" tint="0.59999389629810485"/>
      </bottom>
      <diagonal/>
    </border>
    <border>
      <left style="thin">
        <color theme="3" tint="0.39997558519241921"/>
      </left>
      <right style="thin">
        <color theme="3" tint="0.59999389629810485"/>
      </right>
      <top style="thin">
        <color theme="3" tint="0.39997558519241921"/>
      </top>
      <bottom style="thin">
        <color theme="3" tint="0.59999389629810485"/>
      </bottom>
      <diagonal/>
    </border>
    <border>
      <left style="thin">
        <color theme="3" tint="0.59999389629810485"/>
      </left>
      <right style="thin">
        <color theme="3" tint="0.59999389629810485"/>
      </right>
      <top style="thin">
        <color theme="3" tint="0.39997558519241921"/>
      </top>
      <bottom style="thin">
        <color theme="3" tint="0.59999389629810485"/>
      </bottom>
      <diagonal/>
    </border>
    <border>
      <left style="thin">
        <color theme="3" tint="0.39997558519241921"/>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diagonal/>
    </border>
    <border>
      <left style="thin">
        <color theme="3" tint="0.39997558519241921"/>
      </left>
      <right style="thin">
        <color theme="3" tint="0.39997558519241921"/>
      </right>
      <top/>
      <bottom style="thin">
        <color theme="3" tint="0.39997558519241921"/>
      </bottom>
      <diagonal/>
    </border>
    <border>
      <left style="thin">
        <color theme="3" tint="0.59996337778862885"/>
      </left>
      <right/>
      <top style="thin">
        <color theme="4" tint="0.39997558519241921"/>
      </top>
      <bottom style="thin">
        <color theme="3" tint="0.59996337778862885"/>
      </bottom>
      <diagonal/>
    </border>
    <border>
      <left/>
      <right style="thin">
        <color theme="3" tint="0.59996337778862885"/>
      </right>
      <top style="thin">
        <color theme="4" tint="0.39997558519241921"/>
      </top>
      <bottom style="thin">
        <color theme="3" tint="0.59996337778862885"/>
      </bottom>
      <diagonal/>
    </border>
    <border>
      <left style="thin">
        <color theme="4" tint="0.39997558519241921"/>
      </left>
      <right/>
      <top style="thin">
        <color theme="4" tint="0.39997558519241921"/>
      </top>
      <bottom style="thin">
        <color theme="3" tint="0.39997558519241921"/>
      </bottom>
      <diagonal/>
    </border>
    <border>
      <left/>
      <right style="thin">
        <color theme="4" tint="0.39997558519241921"/>
      </right>
      <top style="thin">
        <color theme="4" tint="0.39997558519241921"/>
      </top>
      <bottom style="thin">
        <color theme="3"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3" tint="0.59996337778862885"/>
      </top>
      <bottom style="thin">
        <color theme="4" tint="0.39997558519241921"/>
      </bottom>
      <diagonal/>
    </border>
    <border>
      <left/>
      <right style="thin">
        <color theme="3" tint="0.59996337778862885"/>
      </right>
      <top style="thin">
        <color theme="3" tint="0.59996337778862885"/>
      </top>
      <bottom style="thin">
        <color theme="4" tint="0.39997558519241921"/>
      </bottom>
      <diagonal/>
    </border>
    <border>
      <left style="thin">
        <color theme="4" tint="0.39997558519241921"/>
      </left>
      <right/>
      <top style="thin">
        <color theme="3" tint="0.39997558519241921"/>
      </top>
      <bottom style="thin">
        <color theme="3" tint="0.39997558519241921"/>
      </bottom>
      <diagonal/>
    </border>
    <border>
      <left/>
      <right style="thin">
        <color theme="4" tint="0.39997558519241921"/>
      </right>
      <top style="thin">
        <color theme="3" tint="0.39997558519241921"/>
      </top>
      <bottom style="thin">
        <color theme="3" tint="0.39997558519241921"/>
      </bottom>
      <diagonal/>
    </border>
    <border>
      <left style="thin">
        <color theme="4" tint="0.39997558519241921"/>
      </left>
      <right/>
      <top style="thin">
        <color theme="4" tint="0.39997558519241921"/>
      </top>
      <bottom style="thin">
        <color theme="3" tint="0.59996337778862885"/>
      </bottom>
      <diagonal/>
    </border>
    <border>
      <left style="thin">
        <color theme="4" tint="0.39997558519241921"/>
      </left>
      <right/>
      <top style="thin">
        <color theme="3" tint="0.59996337778862885"/>
      </top>
      <bottom style="thin">
        <color theme="3" tint="0.59996337778862885"/>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top style="thin">
        <color theme="3" tint="0.59999389629810485"/>
      </top>
      <bottom style="thin">
        <color theme="4" tint="0.39997558519241921"/>
      </bottom>
      <diagonal/>
    </border>
    <border>
      <left/>
      <right style="thin">
        <color theme="4" tint="0.39997558519241921"/>
      </right>
      <top style="thin">
        <color theme="3" tint="0.59999389629810485"/>
      </top>
      <bottom style="thin">
        <color theme="4" tint="0.39997558519241921"/>
      </bottom>
      <diagonal/>
    </border>
    <border>
      <left/>
      <right/>
      <top style="thin">
        <color theme="4" tint="0.39997558519241921"/>
      </top>
      <bottom/>
      <diagonal/>
    </border>
    <border>
      <left/>
      <right/>
      <top style="thin">
        <color theme="3" tint="0.39997558519241921"/>
      </top>
      <bottom/>
      <diagonal/>
    </border>
    <border>
      <left/>
      <right style="thin">
        <color theme="3" tint="0.39997558519241921"/>
      </right>
      <top style="thin">
        <color theme="3" tint="0.39997558519241921"/>
      </top>
      <bottom/>
      <diagonal/>
    </border>
    <border>
      <left/>
      <right/>
      <top/>
      <bottom style="thin">
        <color theme="3" tint="0.39997558519241921"/>
      </bottom>
      <diagonal/>
    </border>
    <border>
      <left/>
      <right style="thin">
        <color theme="3" tint="0.39997558519241921"/>
      </right>
      <top/>
      <bottom style="thin">
        <color theme="3" tint="0.39997558519241921"/>
      </bottom>
      <diagonal/>
    </border>
    <border>
      <left/>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3" tint="0.39997558519241921"/>
      </top>
      <bottom style="thin">
        <color theme="4" tint="0.39997558519241921"/>
      </bottom>
      <diagonal/>
    </border>
    <border>
      <left/>
      <right style="thin">
        <color theme="4" tint="0.39997558519241921"/>
      </right>
      <top style="thin">
        <color theme="3" tint="0.39997558519241921"/>
      </top>
      <bottom style="thin">
        <color theme="4" tint="0.39997558519241921"/>
      </bottom>
      <diagonal/>
    </border>
    <border>
      <left style="thin">
        <color theme="3" tint="0.59999389629810485"/>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3" tint="0.59996337778862885"/>
      </bottom>
      <diagonal/>
    </border>
    <border>
      <left/>
      <right style="thin">
        <color theme="4" tint="0.39997558519241921"/>
      </right>
      <top/>
      <bottom style="thin">
        <color theme="3" tint="0.59996337778862885"/>
      </bottom>
      <diagonal/>
    </border>
    <border>
      <left style="thin">
        <color theme="4" tint="0.39997558519241921"/>
      </left>
      <right style="thin">
        <color theme="4" tint="0.39997558519241921"/>
      </right>
      <top style="thin">
        <color theme="3" tint="0.59999389629810485"/>
      </top>
      <bottom style="thin">
        <color theme="4" tint="0.39997558519241921"/>
      </bottom>
      <diagonal/>
    </border>
    <border>
      <left style="thin">
        <color theme="4" tint="0.39997558519241921"/>
      </left>
      <right style="thin">
        <color theme="3" tint="0.59999389629810485"/>
      </right>
      <top style="thin">
        <color theme="3" tint="0.59999389629810485"/>
      </top>
      <bottom style="thin">
        <color theme="4" tint="0.39997558519241921"/>
      </bottom>
      <diagonal/>
    </border>
    <border>
      <left style="thin">
        <color theme="3" tint="0.59999389629810485"/>
      </left>
      <right style="thin">
        <color theme="4" tint="0.39997558519241921"/>
      </right>
      <top style="thin">
        <color theme="3" tint="0.59999389629810485"/>
      </top>
      <bottom style="thin">
        <color theme="4" tint="0.39997558519241921"/>
      </bottom>
      <diagonal/>
    </border>
    <border>
      <left style="thin">
        <color theme="4" tint="0.39997558519241921"/>
      </left>
      <right style="thin">
        <color theme="3" tint="0.59999389629810485"/>
      </right>
      <top style="thin">
        <color theme="4" tint="0.39997558519241921"/>
      </top>
      <bottom style="thin">
        <color theme="4" tint="0.39997558519241921"/>
      </bottom>
      <diagonal/>
    </border>
    <border>
      <left style="thin">
        <color theme="3" tint="0.59999389629810485"/>
      </left>
      <right style="thin">
        <color theme="4" tint="0.39997558519241921"/>
      </right>
      <top style="thin">
        <color theme="4" tint="0.39997558519241921"/>
      </top>
      <bottom style="thin">
        <color theme="3" tint="0.59999389629810485"/>
      </bottom>
      <diagonal/>
    </border>
    <border>
      <left style="thin">
        <color theme="4" tint="0.39997558519241921"/>
      </left>
      <right style="thin">
        <color theme="4" tint="0.39997558519241921"/>
      </right>
      <top style="thin">
        <color theme="4" tint="0.39997558519241921"/>
      </top>
      <bottom style="thin">
        <color theme="3" tint="0.59999389629810485"/>
      </bottom>
      <diagonal/>
    </border>
    <border>
      <left style="thin">
        <color theme="4" tint="0.39997558519241921"/>
      </left>
      <right style="thin">
        <color theme="3" tint="0.59999389629810485"/>
      </right>
      <top style="thin">
        <color theme="4" tint="0.39997558519241921"/>
      </top>
      <bottom style="thin">
        <color theme="3" tint="0.59999389629810485"/>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style="thin">
        <color theme="4" tint="0.39994506668294322"/>
      </bottom>
      <diagonal/>
    </border>
    <border>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7558519241921"/>
      </left>
      <right style="thin">
        <color theme="4" tint="0.59999389629810485"/>
      </right>
      <top/>
      <bottom style="thin">
        <color theme="4" tint="0.39997558519241921"/>
      </bottom>
      <diagonal/>
    </border>
    <border>
      <left style="thin">
        <color theme="4" tint="0.39997558519241921"/>
      </left>
      <right/>
      <top style="thin">
        <color theme="4" tint="0.59999389629810485"/>
      </top>
      <bottom style="thin">
        <color theme="4" tint="0.39997558519241921"/>
      </bottom>
      <diagonal/>
    </border>
    <border>
      <left/>
      <right/>
      <top style="thin">
        <color theme="4" tint="0.59999389629810485"/>
      </top>
      <bottom style="thin">
        <color theme="4" tint="0.39997558519241921"/>
      </bottom>
      <diagonal/>
    </border>
    <border>
      <left/>
      <right style="thin">
        <color theme="4" tint="0.59999389629810485"/>
      </right>
      <top style="thin">
        <color theme="4" tint="0.59999389629810485"/>
      </top>
      <bottom style="thin">
        <color theme="4" tint="0.39997558519241921"/>
      </bottom>
      <diagonal/>
    </border>
    <border>
      <left style="thin">
        <color theme="4" tint="0.59999389629810485"/>
      </left>
      <right/>
      <top style="thin">
        <color theme="3" tint="0.59999389629810485"/>
      </top>
      <bottom style="thin">
        <color theme="4" tint="0.39997558519241921"/>
      </bottom>
      <diagonal/>
    </border>
    <border>
      <left style="thin">
        <color theme="4" tint="0.59999389629810485"/>
      </left>
      <right style="thin">
        <color theme="4" tint="0.59999389629810485"/>
      </right>
      <top style="thin">
        <color theme="3" tint="0.59999389629810485"/>
      </top>
      <bottom style="thin">
        <color theme="4" tint="0.59999389629810485"/>
      </bottom>
      <diagonal/>
    </border>
    <border>
      <left style="thin">
        <color theme="3" tint="0.59996337778862885"/>
      </left>
      <right style="thin">
        <color theme="3" tint="0.59996337778862885"/>
      </right>
      <top style="thin">
        <color theme="3" tint="0.59996337778862885"/>
      </top>
      <bottom/>
      <diagonal/>
    </border>
    <border>
      <left/>
      <right/>
      <top style="thin">
        <color theme="4" tint="0.39997558519241921"/>
      </top>
      <bottom style="thin">
        <color theme="3" tint="0.59996337778862885"/>
      </bottom>
      <diagonal/>
    </border>
    <border>
      <left/>
      <right/>
      <top style="thin">
        <color theme="3" tint="0.59999389629810485"/>
      </top>
      <bottom style="thin">
        <color theme="4" tint="0.39997558519241921"/>
      </bottom>
      <diagonal/>
    </border>
    <border>
      <left/>
      <right style="thin">
        <color theme="3" tint="0.39997558519241921"/>
      </right>
      <top style="thin">
        <color theme="3" tint="0.59999389629810485"/>
      </top>
      <bottom style="thin">
        <color theme="4" tint="0.39997558519241921"/>
      </bottom>
      <diagonal/>
    </border>
    <border>
      <left style="thin">
        <color theme="3" tint="0.39997558519241921"/>
      </left>
      <right/>
      <top/>
      <bottom style="thin">
        <color theme="4" tint="0.39997558519241921"/>
      </bottom>
      <diagonal/>
    </border>
    <border>
      <left/>
      <right style="thin">
        <color theme="3" tint="0.39997558519241921"/>
      </right>
      <top/>
      <bottom style="thin">
        <color theme="4" tint="0.39997558519241921"/>
      </bottom>
      <diagonal/>
    </border>
    <border>
      <left style="thin">
        <color theme="3" tint="0.39997558519241921"/>
      </left>
      <right/>
      <top style="thin">
        <color theme="4" tint="0.39997558519241921"/>
      </top>
      <bottom style="thin">
        <color theme="4" tint="0.39997558519241921"/>
      </bottom>
      <diagonal/>
    </border>
    <border>
      <left/>
      <right style="thin">
        <color theme="3" tint="0.39997558519241921"/>
      </right>
      <top style="thin">
        <color theme="4" tint="0.39997558519241921"/>
      </top>
      <bottom style="thin">
        <color theme="4" tint="0.39997558519241921"/>
      </bottom>
      <diagonal/>
    </border>
    <border>
      <left style="thin">
        <color theme="3" tint="0.39997558519241921"/>
      </left>
      <right style="thin">
        <color indexed="64"/>
      </right>
      <top style="thin">
        <color theme="3" tint="0.39997558519241921"/>
      </top>
      <bottom style="thin">
        <color theme="3" tint="0.39997558519241921"/>
      </bottom>
      <diagonal/>
    </border>
    <border>
      <left style="thin">
        <color indexed="64"/>
      </left>
      <right style="thin">
        <color indexed="64"/>
      </right>
      <top style="thin">
        <color theme="3" tint="0.39997558519241921"/>
      </top>
      <bottom style="thin">
        <color theme="3" tint="0.39997558519241921"/>
      </bottom>
      <diagonal/>
    </border>
    <border>
      <left style="thin">
        <color indexed="64"/>
      </left>
      <right style="thin">
        <color theme="3" tint="0.39997558519241921"/>
      </right>
      <top style="thin">
        <color theme="3" tint="0.39997558519241921"/>
      </top>
      <bottom style="thin">
        <color theme="3" tint="0.39997558519241921"/>
      </bottom>
      <diagonal/>
    </border>
    <border>
      <left/>
      <right style="thin">
        <color indexed="64"/>
      </right>
      <top style="thin">
        <color theme="3" tint="0.39997558519241921"/>
      </top>
      <bottom style="thin">
        <color theme="3" tint="0.39997558519241921"/>
      </bottom>
      <diagonal/>
    </border>
    <border>
      <left style="thin">
        <color indexed="64"/>
      </left>
      <right/>
      <top style="thin">
        <color theme="3" tint="0.39997558519241921"/>
      </top>
      <bottom style="thin">
        <color theme="3" tint="0.39997558519241921"/>
      </bottom>
      <diagonal/>
    </border>
    <border>
      <left style="thin">
        <color theme="3" tint="0.39997558519241921"/>
      </left>
      <right style="thin">
        <color indexed="64"/>
      </right>
      <top/>
      <bottom/>
      <diagonal/>
    </border>
    <border>
      <left style="thin">
        <color indexed="64"/>
      </left>
      <right style="thin">
        <color theme="3" tint="0.39997558519241921"/>
      </right>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59999389629810485"/>
      </right>
      <top style="thin">
        <color theme="4" tint="0.39997558519241921"/>
      </top>
      <bottom style="thin">
        <color theme="3" tint="0.59999389629810485"/>
      </bottom>
      <diagonal/>
    </border>
    <border>
      <left style="thin">
        <color theme="4" tint="0.59999389629810485"/>
      </left>
      <right style="thin">
        <color theme="4" tint="0.59999389629810485"/>
      </right>
      <top style="thin">
        <color theme="4" tint="0.59999389629810485"/>
      </top>
      <bottom/>
      <diagonal/>
    </border>
    <border>
      <left/>
      <right/>
      <top style="thin">
        <color theme="3" tint="0.39997558519241921"/>
      </top>
      <bottom style="thin">
        <color theme="4" tint="0.39997558519241921"/>
      </bottom>
      <diagonal/>
    </border>
    <border>
      <left/>
      <right/>
      <top style="thin">
        <color theme="4" tint="0.39994506668294322"/>
      </top>
      <bottom style="thin">
        <color theme="4" tint="0.39994506668294322"/>
      </bottom>
      <diagonal/>
    </border>
    <border>
      <left/>
      <right/>
      <top style="thin">
        <color indexed="64"/>
      </top>
      <bottom style="thin">
        <color theme="3" tint="0.39997558519241921"/>
      </bottom>
      <diagonal/>
    </border>
    <border>
      <left style="thin">
        <color theme="3" tint="0.39997558519241921"/>
      </left>
      <right style="thin">
        <color theme="3" tint="0.39997558519241921"/>
      </right>
      <top style="thin">
        <color theme="3" tint="0.39997558519241921"/>
      </top>
      <bottom/>
      <diagonal/>
    </border>
    <border>
      <left/>
      <right style="thin">
        <color theme="3" tint="0.39997558519241921"/>
      </right>
      <top/>
      <bottom/>
      <diagonal/>
    </border>
    <border>
      <left style="thin">
        <color theme="3" tint="0.39997558519241921"/>
      </left>
      <right/>
      <top style="thin">
        <color theme="3" tint="0.39997558519241921"/>
      </top>
      <bottom style="hair">
        <color indexed="64"/>
      </bottom>
      <diagonal/>
    </border>
    <border>
      <left/>
      <right/>
      <top style="thin">
        <color theme="3" tint="0.39997558519241921"/>
      </top>
      <bottom style="hair">
        <color indexed="64"/>
      </bottom>
      <diagonal/>
    </border>
    <border>
      <left/>
      <right style="thin">
        <color theme="3" tint="0.39997558519241921"/>
      </right>
      <top style="thin">
        <color theme="3" tint="0.39997558519241921"/>
      </top>
      <bottom style="hair">
        <color indexed="64"/>
      </bottom>
      <diagonal/>
    </border>
    <border>
      <left style="thin">
        <color theme="3" tint="0.39997558519241921"/>
      </left>
      <right/>
      <top style="hair">
        <color indexed="64"/>
      </top>
      <bottom/>
      <diagonal/>
    </border>
    <border>
      <left/>
      <right style="thin">
        <color theme="3" tint="0.39997558519241921"/>
      </right>
      <top style="hair">
        <color indexed="64"/>
      </top>
      <bottom/>
      <diagonal/>
    </border>
    <border>
      <left style="thin">
        <color theme="3" tint="0.39997558519241921"/>
      </left>
      <right/>
      <top style="hair">
        <color indexed="64"/>
      </top>
      <bottom style="thin">
        <color theme="3" tint="0.39997558519241921"/>
      </bottom>
      <diagonal/>
    </border>
    <border>
      <left/>
      <right/>
      <top style="hair">
        <color indexed="64"/>
      </top>
      <bottom style="thin">
        <color theme="3" tint="0.39997558519241921"/>
      </bottom>
      <diagonal/>
    </border>
    <border>
      <left/>
      <right style="thin">
        <color theme="3" tint="0.39997558519241921"/>
      </right>
      <top style="hair">
        <color indexed="64"/>
      </top>
      <bottom style="thin">
        <color theme="3" tint="0.39997558519241921"/>
      </bottom>
      <diagonal/>
    </border>
    <border>
      <left style="thin">
        <color theme="4" tint="0.59999389629810485"/>
      </left>
      <right/>
      <top style="thin">
        <color theme="4" tint="0.59999389629810485"/>
      </top>
      <bottom/>
      <diagonal/>
    </border>
    <border>
      <left/>
      <right/>
      <top style="thin">
        <color theme="4" tint="0.59999389629810485"/>
      </top>
      <bottom/>
      <diagonal/>
    </border>
    <border>
      <left/>
      <right style="thin">
        <color theme="4" tint="0.59999389629810485"/>
      </right>
      <top style="thin">
        <color theme="4" tint="0.59999389629810485"/>
      </top>
      <bottom/>
      <diagonal/>
    </border>
    <border>
      <left style="thin">
        <color theme="4" tint="0.59999389629810485"/>
      </left>
      <right/>
      <top/>
      <bottom/>
      <diagonal/>
    </border>
    <border>
      <left/>
      <right style="thin">
        <color theme="4" tint="0.59999389629810485"/>
      </right>
      <top/>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style="hair">
        <color indexed="64"/>
      </right>
      <top style="thin">
        <color theme="4" tint="0.59999389629810485"/>
      </top>
      <bottom style="thin">
        <color theme="4" tint="0.59999389629810485"/>
      </bottom>
      <diagonal/>
    </border>
    <border>
      <left style="hair">
        <color indexed="64"/>
      </left>
      <right style="hair">
        <color indexed="64"/>
      </right>
      <top style="thin">
        <color theme="4" tint="0.59999389629810485"/>
      </top>
      <bottom style="thin">
        <color theme="4" tint="0.59999389629810485"/>
      </bottom>
      <diagonal/>
    </border>
    <border>
      <left style="hair">
        <color indexed="64"/>
      </left>
      <right style="thin">
        <color theme="4" tint="0.59999389629810485"/>
      </right>
      <top style="thin">
        <color theme="4" tint="0.59999389629810485"/>
      </top>
      <bottom style="thin">
        <color theme="4" tint="0.59999389629810485"/>
      </bottom>
      <diagonal/>
    </border>
    <border>
      <left style="thin">
        <color theme="3" tint="0.59999389629810485"/>
      </left>
      <right style="thin">
        <color theme="3" tint="0.39997558519241921"/>
      </right>
      <top style="thin">
        <color theme="3" tint="0.59999389629810485"/>
      </top>
      <bottom/>
      <diagonal/>
    </border>
    <border>
      <left style="thin">
        <color theme="3" tint="0.39997558519241921"/>
      </left>
      <right style="thin">
        <color theme="3" tint="0.39997558519241921"/>
      </right>
      <top style="thin">
        <color theme="3" tint="0.59999389629810485"/>
      </top>
      <bottom/>
      <diagonal/>
    </border>
    <border>
      <left style="thin">
        <color theme="3" tint="0.39997558519241921"/>
      </left>
      <right/>
      <top style="thin">
        <color theme="3" tint="0.59999389629810485"/>
      </top>
      <bottom/>
      <diagonal/>
    </border>
    <border>
      <left style="thin">
        <color theme="3" tint="0.59996337778862885"/>
      </left>
      <right style="thin">
        <color theme="3" tint="0.59996337778862885"/>
      </right>
      <top/>
      <bottom style="thin">
        <color theme="3" tint="0.59996337778862885"/>
      </bottom>
      <diagonal/>
    </border>
    <border>
      <left/>
      <right style="thin">
        <color theme="3" tint="0.59999389629810485"/>
      </right>
      <top/>
      <bottom/>
      <diagonal/>
    </border>
    <border>
      <left/>
      <right style="thin">
        <color theme="4" tint="0.39997558519241921"/>
      </right>
      <top style="thin">
        <color theme="4" tint="0.39997558519241921"/>
      </top>
      <bottom style="thin">
        <color theme="3" tint="0.59996337778862885"/>
      </bottom>
      <diagonal/>
    </border>
    <border>
      <left style="thin">
        <color theme="3" tint="0.59996337778862885"/>
      </left>
      <right/>
      <top style="thin">
        <color theme="3" tint="0.59996337778862885"/>
      </top>
      <bottom style="thin">
        <color theme="4" tint="0.39997558519241921"/>
      </bottom>
      <diagonal/>
    </border>
    <border>
      <left style="thin">
        <color theme="4" tint="0.39997558519241921"/>
      </left>
      <right/>
      <top style="thin">
        <color theme="3" tint="0.39997558519241921"/>
      </top>
      <bottom style="thin">
        <color theme="3" tint="0.59996337778862885"/>
      </bottom>
      <diagonal/>
    </border>
    <border>
      <left/>
      <right/>
      <top style="thin">
        <color theme="3" tint="0.39997558519241921"/>
      </top>
      <bottom style="thin">
        <color theme="3" tint="0.59996337778862885"/>
      </bottom>
      <diagonal/>
    </border>
    <border>
      <left/>
      <right/>
      <top style="thin">
        <color theme="4" tint="0.39997558519241921"/>
      </top>
      <bottom style="thin">
        <color theme="3" tint="0.39997558519241921"/>
      </bottom>
      <diagonal/>
    </border>
    <border>
      <left style="thin">
        <color theme="3" tint="0.39997558519241921"/>
      </left>
      <right style="thin">
        <color theme="3" tint="0.59996337778862885"/>
      </right>
      <top style="thin">
        <color theme="3" tint="0.39997558519241921"/>
      </top>
      <bottom/>
      <diagonal/>
    </border>
    <border>
      <left style="thin">
        <color theme="3" tint="0.59996337778862885"/>
      </left>
      <right style="thin">
        <color theme="3" tint="0.59996337778862885"/>
      </right>
      <top style="thin">
        <color theme="3" tint="0.39997558519241921"/>
      </top>
      <bottom/>
      <diagonal/>
    </border>
    <border>
      <left style="thin">
        <color theme="3" tint="0.59996337778862885"/>
      </left>
      <right style="thin">
        <color theme="3" tint="0.39997558519241921"/>
      </right>
      <top style="thin">
        <color theme="3" tint="0.39997558519241921"/>
      </top>
      <bottom/>
      <diagonal/>
    </border>
    <border>
      <left style="thin">
        <color theme="3" tint="0.39997558519241921"/>
      </left>
      <right style="thin">
        <color theme="3" tint="0.59996337778862885"/>
      </right>
      <top/>
      <bottom/>
      <diagonal/>
    </border>
    <border>
      <left style="thin">
        <color theme="3" tint="0.59996337778862885"/>
      </left>
      <right style="thin">
        <color theme="3" tint="0.39997558519241921"/>
      </right>
      <top/>
      <bottom/>
      <diagonal/>
    </border>
    <border>
      <left style="thin">
        <color theme="3" tint="0.39997558519241921"/>
      </left>
      <right style="thin">
        <color theme="3" tint="0.59996337778862885"/>
      </right>
      <top/>
      <bottom style="thin">
        <color theme="3" tint="0.39997558519241921"/>
      </bottom>
      <diagonal/>
    </border>
    <border>
      <left style="thin">
        <color theme="3" tint="0.59996337778862885"/>
      </left>
      <right style="thin">
        <color theme="3" tint="0.59996337778862885"/>
      </right>
      <top/>
      <bottom style="thin">
        <color theme="3" tint="0.39997558519241921"/>
      </bottom>
      <diagonal/>
    </border>
    <border>
      <left style="thin">
        <color theme="3" tint="0.59996337778862885"/>
      </left>
      <right style="thin">
        <color theme="3" tint="0.39997558519241921"/>
      </right>
      <top/>
      <bottom style="thin">
        <color theme="3" tint="0.39997558519241921"/>
      </bottom>
      <diagonal/>
    </border>
    <border>
      <left/>
      <right/>
      <top style="thin">
        <color theme="3" tint="0.59996337778862885"/>
      </top>
      <bottom style="thin">
        <color theme="4" tint="0.39997558519241921"/>
      </bottom>
      <diagonal/>
    </border>
    <border>
      <left/>
      <right style="thin">
        <color theme="4" tint="0.39997558519241921"/>
      </right>
      <top style="thin">
        <color theme="3" tint="0.59996337778862885"/>
      </top>
      <bottom/>
      <diagonal/>
    </border>
    <border>
      <left/>
      <right style="thin">
        <color theme="4" tint="0.39997558519241921"/>
      </right>
      <top style="thin">
        <color theme="3" tint="0.59996337778862885"/>
      </top>
      <bottom style="thin">
        <color theme="4" tint="0.39997558519241921"/>
      </bottom>
      <diagonal/>
    </border>
    <border>
      <left style="thin">
        <color theme="3" tint="0.59996337778862885"/>
      </left>
      <right/>
      <top style="thin">
        <color theme="3" tint="0.39997558519241921"/>
      </top>
      <bottom style="thin">
        <color theme="3" tint="0.59996337778862885"/>
      </bottom>
      <diagonal/>
    </border>
    <border>
      <left/>
      <right style="thin">
        <color theme="3" tint="0.39997558519241921"/>
      </right>
      <top style="thin">
        <color theme="3" tint="0.39997558519241921"/>
      </top>
      <bottom style="thin">
        <color theme="3" tint="0.59996337778862885"/>
      </bottom>
      <diagonal/>
    </border>
    <border>
      <left style="thin">
        <color theme="3" tint="0.59996337778862885"/>
      </left>
      <right/>
      <top style="thin">
        <color theme="3" tint="0.39997558519241921"/>
      </top>
      <bottom style="thin">
        <color theme="3" tint="0.39997558519241921"/>
      </bottom>
      <diagonal/>
    </border>
    <border>
      <left style="thin">
        <color theme="3" tint="0.59996337778862885"/>
      </left>
      <right/>
      <top style="thin">
        <color theme="3" tint="0.59996337778862885"/>
      </top>
      <bottom style="thin">
        <color theme="3" tint="0.39997558519241921"/>
      </bottom>
      <diagonal/>
    </border>
    <border>
      <left/>
      <right/>
      <top style="thin">
        <color theme="3" tint="0.59996337778862885"/>
      </top>
      <bottom style="thin">
        <color theme="3" tint="0.39997558519241921"/>
      </bottom>
      <diagonal/>
    </border>
    <border>
      <left/>
      <right style="thin">
        <color theme="3" tint="0.59996337778862885"/>
      </right>
      <top style="thin">
        <color theme="3" tint="0.59996337778862885"/>
      </top>
      <bottom style="thin">
        <color theme="3" tint="0.39997558519241921"/>
      </bottom>
      <diagonal/>
    </border>
    <border>
      <left style="thin">
        <color theme="4" tint="0.39997558519241921"/>
      </left>
      <right style="thin">
        <color theme="4" tint="0.39997558519241921"/>
      </right>
      <top style="thin">
        <color theme="3" tint="0.39997558519241921"/>
      </top>
      <bottom style="thin">
        <color theme="4" tint="0.39997558519241921"/>
      </bottom>
      <diagonal/>
    </border>
    <border>
      <left style="thin">
        <color theme="3" tint="0.59999389629810485"/>
      </left>
      <right style="thin">
        <color theme="4"/>
      </right>
      <top style="thin">
        <color theme="3" tint="0.59996337778862885"/>
      </top>
      <bottom style="thin">
        <color theme="3" tint="0.59996337778862885"/>
      </bottom>
      <diagonal/>
    </border>
    <border>
      <left style="thin">
        <color theme="3" tint="0.59999389629810485"/>
      </left>
      <right style="thin">
        <color theme="4"/>
      </right>
      <top style="thin">
        <color theme="3" tint="0.59999389629810485"/>
      </top>
      <bottom/>
      <diagonal/>
    </border>
    <border>
      <left style="thin">
        <color theme="3" tint="0.59999389629810485"/>
      </left>
      <right style="thin">
        <color theme="4"/>
      </right>
      <top/>
      <bottom style="thin">
        <color theme="3" tint="0.59996337778862885"/>
      </bottom>
      <diagonal/>
    </border>
    <border>
      <left style="thin">
        <color theme="4"/>
      </left>
      <right/>
      <top style="thin">
        <color theme="3" tint="0.59996337778862885"/>
      </top>
      <bottom style="thin">
        <color theme="3" tint="0.59996337778862885"/>
      </bottom>
      <diagonal/>
    </border>
    <border>
      <left style="thin">
        <color theme="4" tint="0.39997558519241921"/>
      </left>
      <right/>
      <top style="thin">
        <color theme="3" tint="0.59996337778862885"/>
      </top>
      <bottom/>
      <diagonal/>
    </border>
    <border>
      <left/>
      <right style="thin">
        <color theme="4" tint="0.39997558519241921"/>
      </right>
      <top/>
      <bottom/>
      <diagonal/>
    </border>
  </borders>
  <cellStyleXfs count="5">
    <xf numFmtId="0" fontId="0" fillId="0" borderId="0"/>
    <xf numFmtId="0" fontId="30" fillId="0" borderId="0" applyNumberFormat="0" applyFill="0" applyBorder="0" applyAlignment="0" applyProtection="0"/>
    <xf numFmtId="165" fontId="27" fillId="0" borderId="0" applyFont="0" applyFill="0" applyBorder="0" applyAlignment="0" applyProtection="0"/>
    <xf numFmtId="9" fontId="27" fillId="0" borderId="0" applyFont="0" applyFill="0" applyBorder="0" applyAlignment="0" applyProtection="0"/>
    <xf numFmtId="164" fontId="27" fillId="0" borderId="0" applyFont="0" applyFill="0" applyBorder="0" applyAlignment="0" applyProtection="0"/>
  </cellStyleXfs>
  <cellXfs count="1420">
    <xf numFmtId="0" fontId="0" fillId="0" borderId="0" xfId="0"/>
    <xf numFmtId="1" fontId="33" fillId="2" borderId="0" xfId="0" applyNumberFormat="1" applyFont="1" applyFill="1" applyAlignment="1" applyProtection="1">
      <alignment vertical="center" wrapText="1"/>
      <protection hidden="1"/>
    </xf>
    <xf numFmtId="0" fontId="34" fillId="2" borderId="0" xfId="0" applyFont="1" applyFill="1" applyAlignment="1" applyProtection="1">
      <alignment vertical="center" wrapText="1"/>
      <protection hidden="1"/>
    </xf>
    <xf numFmtId="0" fontId="0" fillId="2" borderId="0" xfId="0" applyFill="1" applyAlignment="1" applyProtection="1">
      <alignment vertical="top"/>
      <protection hidden="1"/>
    </xf>
    <xf numFmtId="0" fontId="34" fillId="2" borderId="0" xfId="0" applyFont="1" applyFill="1" applyAlignment="1" applyProtection="1">
      <alignment vertical="top"/>
      <protection hidden="1"/>
    </xf>
    <xf numFmtId="0" fontId="35" fillId="2" borderId="0" xfId="0" applyFont="1" applyFill="1" applyAlignment="1" applyProtection="1">
      <alignment vertical="top"/>
      <protection hidden="1"/>
    </xf>
    <xf numFmtId="0" fontId="34" fillId="2" borderId="0" xfId="0" applyFont="1" applyFill="1" applyAlignment="1" applyProtection="1">
      <alignment horizontal="left" vertical="top"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vertical="top"/>
      <protection hidden="1"/>
    </xf>
    <xf numFmtId="0" fontId="0" fillId="2" borderId="0" xfId="0" quotePrefix="1" applyFill="1" applyAlignment="1" applyProtection="1">
      <alignment horizontal="center" vertical="top"/>
      <protection hidden="1"/>
    </xf>
    <xf numFmtId="0" fontId="36" fillId="2" borderId="0" xfId="0" applyFont="1" applyFill="1" applyAlignment="1" applyProtection="1">
      <alignment horizontal="left" vertical="top"/>
      <protection hidden="1"/>
    </xf>
    <xf numFmtId="0" fontId="0" fillId="2" borderId="0" xfId="0" applyFill="1" applyAlignment="1" applyProtection="1">
      <alignment vertical="top" wrapText="1"/>
      <protection hidden="1"/>
    </xf>
    <xf numFmtId="0" fontId="32" fillId="2" borderId="0" xfId="0" applyFont="1" applyFill="1" applyAlignment="1" applyProtection="1">
      <alignment horizontal="left" vertical="center"/>
      <protection hidden="1"/>
    </xf>
    <xf numFmtId="0" fontId="36" fillId="2" borderId="0" xfId="0" applyFont="1" applyFill="1" applyAlignment="1" applyProtection="1">
      <alignment vertical="top"/>
      <protection hidden="1"/>
    </xf>
    <xf numFmtId="0" fontId="36" fillId="2" borderId="0" xfId="0" applyFont="1" applyFill="1" applyAlignment="1" applyProtection="1">
      <alignment horizontal="left" vertical="center"/>
      <protection hidden="1"/>
    </xf>
    <xf numFmtId="0" fontId="32" fillId="2" borderId="0" xfId="0" applyFont="1" applyFill="1" applyAlignment="1" applyProtection="1">
      <alignment horizontal="center" vertical="center"/>
      <protection hidden="1"/>
    </xf>
    <xf numFmtId="0" fontId="0" fillId="2" borderId="0" xfId="0" applyFill="1" applyAlignment="1" applyProtection="1">
      <alignment vertical="center"/>
      <protection hidden="1"/>
    </xf>
    <xf numFmtId="0" fontId="34" fillId="2" borderId="0" xfId="0" applyFont="1" applyFill="1" applyAlignment="1" applyProtection="1">
      <alignment vertical="center"/>
      <protection hidden="1"/>
    </xf>
    <xf numFmtId="0" fontId="0" fillId="2" borderId="0" xfId="0" applyFill="1" applyAlignment="1" applyProtection="1">
      <alignment horizontal="right" vertical="top" wrapText="1" indent="1"/>
      <protection hidden="1"/>
    </xf>
    <xf numFmtId="0" fontId="37" fillId="2" borderId="0" xfId="0" applyFont="1" applyFill="1" applyAlignment="1" applyProtection="1">
      <alignment horizontal="left" vertical="top"/>
      <protection hidden="1"/>
    </xf>
    <xf numFmtId="0" fontId="32" fillId="2" borderId="0" xfId="0" applyFont="1" applyFill="1" applyAlignment="1" applyProtection="1">
      <alignment vertical="top"/>
      <protection hidden="1"/>
    </xf>
    <xf numFmtId="0" fontId="38" fillId="2" borderId="0" xfId="0" applyFont="1" applyFill="1" applyAlignment="1" applyProtection="1">
      <alignment horizontal="center" vertical="center"/>
      <protection hidden="1"/>
    </xf>
    <xf numFmtId="0" fontId="38" fillId="2" borderId="0" xfId="0" applyFont="1" applyFill="1" applyAlignment="1" applyProtection="1">
      <alignment vertical="top"/>
      <protection hidden="1"/>
    </xf>
    <xf numFmtId="0" fontId="38" fillId="2" borderId="0" xfId="0" applyFont="1" applyFill="1" applyAlignment="1" applyProtection="1">
      <alignment vertical="center" wrapText="1"/>
      <protection hidden="1"/>
    </xf>
    <xf numFmtId="0" fontId="39" fillId="2" borderId="0" xfId="0" applyFont="1" applyFill="1" applyAlignment="1" applyProtection="1">
      <alignment horizontal="left" vertical="top" wrapText="1"/>
      <protection hidden="1"/>
    </xf>
    <xf numFmtId="1" fontId="38" fillId="2" borderId="0" xfId="0" applyNumberFormat="1" applyFont="1" applyFill="1" applyAlignment="1" applyProtection="1">
      <alignment vertical="center" wrapText="1"/>
      <protection hidden="1"/>
    </xf>
    <xf numFmtId="0" fontId="39" fillId="2" borderId="0" xfId="0" applyFont="1" applyFill="1" applyAlignment="1" applyProtection="1">
      <alignment vertical="top"/>
      <protection hidden="1"/>
    </xf>
    <xf numFmtId="0" fontId="4" fillId="2" borderId="0" xfId="0" applyFont="1" applyFill="1" applyAlignment="1" applyProtection="1">
      <alignment vertical="top"/>
      <protection hidden="1"/>
    </xf>
    <xf numFmtId="166" fontId="38" fillId="2" borderId="0" xfId="0" applyNumberFormat="1" applyFont="1" applyFill="1" applyAlignment="1" applyProtection="1">
      <alignment horizontal="center" vertical="center" wrapText="1"/>
      <protection hidden="1"/>
    </xf>
    <xf numFmtId="3" fontId="38" fillId="2" borderId="0" xfId="0" applyNumberFormat="1" applyFont="1" applyFill="1" applyAlignment="1" applyProtection="1">
      <alignment horizontal="center" vertical="center" wrapText="1"/>
      <protection hidden="1"/>
    </xf>
    <xf numFmtId="164" fontId="38" fillId="2" borderId="0" xfId="4" applyFont="1" applyFill="1" applyBorder="1" applyAlignment="1" applyProtection="1">
      <alignment vertical="center" wrapText="1"/>
      <protection hidden="1"/>
    </xf>
    <xf numFmtId="0" fontId="38" fillId="2" borderId="0" xfId="0" applyFont="1" applyFill="1" applyAlignment="1" applyProtection="1">
      <alignment horizontal="left" wrapText="1"/>
      <protection hidden="1"/>
    </xf>
    <xf numFmtId="0" fontId="38" fillId="2" borderId="0" xfId="0" applyFont="1" applyFill="1" applyAlignment="1" applyProtection="1">
      <alignment vertical="center"/>
      <protection hidden="1"/>
    </xf>
    <xf numFmtId="0" fontId="38" fillId="2" borderId="0" xfId="0" applyFont="1" applyFill="1" applyAlignment="1" applyProtection="1">
      <alignment horizontal="right" vertical="center" indent="1"/>
      <protection hidden="1"/>
    </xf>
    <xf numFmtId="0" fontId="40" fillId="2" borderId="0" xfId="1" quotePrefix="1" applyFont="1" applyFill="1" applyBorder="1" applyAlignment="1" applyProtection="1">
      <alignment vertical="center"/>
      <protection hidden="1"/>
    </xf>
    <xf numFmtId="169" fontId="38" fillId="2" borderId="45" xfId="4" applyNumberFormat="1" applyFont="1" applyFill="1" applyBorder="1" applyAlignment="1" applyProtection="1">
      <alignment horizontal="center" vertical="center"/>
      <protection hidden="1"/>
    </xf>
    <xf numFmtId="0" fontId="0" fillId="2" borderId="0" xfId="0" applyFill="1" applyAlignment="1" applyProtection="1">
      <alignment vertical="center" wrapText="1"/>
      <protection hidden="1"/>
    </xf>
    <xf numFmtId="0" fontId="38" fillId="2" borderId="0" xfId="0" applyFont="1" applyFill="1" applyAlignment="1" applyProtection="1">
      <alignment wrapText="1"/>
      <protection hidden="1"/>
    </xf>
    <xf numFmtId="0" fontId="38" fillId="2" borderId="0" xfId="0" applyFont="1" applyFill="1" applyAlignment="1" applyProtection="1">
      <alignment horizontal="left" vertical="top"/>
      <protection hidden="1"/>
    </xf>
    <xf numFmtId="169" fontId="38" fillId="2" borderId="46" xfId="4" applyNumberFormat="1" applyFont="1" applyFill="1" applyBorder="1" applyAlignment="1" applyProtection="1">
      <alignment horizontal="center" vertical="center"/>
      <protection hidden="1"/>
    </xf>
    <xf numFmtId="169" fontId="38" fillId="2" borderId="47" xfId="4" applyNumberFormat="1" applyFont="1" applyFill="1" applyBorder="1" applyAlignment="1" applyProtection="1">
      <alignment horizontal="center" vertical="center"/>
      <protection hidden="1"/>
    </xf>
    <xf numFmtId="169" fontId="38" fillId="2" borderId="48" xfId="4" applyNumberFormat="1" applyFont="1" applyFill="1" applyBorder="1" applyAlignment="1" applyProtection="1">
      <alignment horizontal="center" vertical="center"/>
      <protection hidden="1"/>
    </xf>
    <xf numFmtId="0" fontId="36" fillId="0" borderId="0" xfId="0" applyFont="1" applyAlignment="1" applyProtection="1">
      <alignment horizontal="left" vertical="top"/>
      <protection hidden="1"/>
    </xf>
    <xf numFmtId="169" fontId="38" fillId="2" borderId="49" xfId="4" applyNumberFormat="1" applyFont="1" applyFill="1" applyBorder="1" applyAlignment="1" applyProtection="1">
      <alignment horizontal="center" vertical="center"/>
      <protection hidden="1"/>
    </xf>
    <xf numFmtId="0" fontId="0" fillId="2" borderId="0" xfId="0" applyFill="1" applyAlignment="1" applyProtection="1">
      <alignment horizontal="center" vertical="top" wrapText="1"/>
      <protection hidden="1"/>
    </xf>
    <xf numFmtId="0" fontId="38" fillId="2" borderId="0" xfId="0" applyFont="1" applyFill="1" applyAlignment="1" applyProtection="1">
      <alignment horizontal="left" vertical="top" wrapText="1"/>
      <protection hidden="1"/>
    </xf>
    <xf numFmtId="0" fontId="38" fillId="2" borderId="50" xfId="0" applyFont="1" applyFill="1" applyBorder="1" applyAlignment="1" applyProtection="1">
      <alignment vertical="center" wrapText="1"/>
      <protection hidden="1"/>
    </xf>
    <xf numFmtId="0" fontId="33" fillId="2" borderId="0" xfId="0" applyFont="1" applyFill="1" applyAlignment="1" applyProtection="1">
      <alignment horizontal="center" vertical="center" wrapText="1"/>
      <protection hidden="1"/>
    </xf>
    <xf numFmtId="0" fontId="41" fillId="2" borderId="0" xfId="0" applyFont="1" applyFill="1" applyAlignment="1" applyProtection="1">
      <alignment vertical="center" wrapText="1"/>
      <protection hidden="1"/>
    </xf>
    <xf numFmtId="0" fontId="32" fillId="2" borderId="0" xfId="0" applyFont="1" applyFill="1" applyAlignment="1" applyProtection="1">
      <alignment vertical="center" wrapText="1"/>
      <protection hidden="1"/>
    </xf>
    <xf numFmtId="0" fontId="32" fillId="2" borderId="0" xfId="0" applyFont="1" applyFill="1" applyAlignment="1">
      <alignment vertical="center"/>
    </xf>
    <xf numFmtId="0" fontId="28" fillId="2" borderId="0" xfId="0" applyFont="1" applyFill="1" applyAlignment="1">
      <alignment vertical="center"/>
    </xf>
    <xf numFmtId="3" fontId="28" fillId="2" borderId="0" xfId="0" applyNumberFormat="1" applyFont="1" applyFill="1" applyAlignment="1">
      <alignment horizontal="right" vertical="center" indent="2"/>
    </xf>
    <xf numFmtId="0" fontId="42" fillId="2" borderId="0" xfId="0" applyFont="1" applyFill="1" applyAlignment="1">
      <alignment horizontal="center" vertical="center" wrapText="1"/>
    </xf>
    <xf numFmtId="166" fontId="28" fillId="2" borderId="0" xfId="3" applyNumberFormat="1" applyFont="1" applyFill="1" applyBorder="1" applyAlignment="1">
      <alignment horizontal="right" vertical="center" indent="2"/>
    </xf>
    <xf numFmtId="3" fontId="32" fillId="2" borderId="0" xfId="0" applyNumberFormat="1" applyFont="1" applyFill="1" applyAlignment="1">
      <alignment horizontal="right" vertical="center" indent="2"/>
    </xf>
    <xf numFmtId="0" fontId="32" fillId="2" borderId="0" xfId="0" applyFont="1" applyFill="1" applyAlignment="1">
      <alignment horizontal="right" vertical="center" indent="2"/>
    </xf>
    <xf numFmtId="0" fontId="43" fillId="2" borderId="0" xfId="0" applyFont="1" applyFill="1" applyAlignment="1">
      <alignment horizontal="center" vertical="center"/>
    </xf>
    <xf numFmtId="0" fontId="28" fillId="2" borderId="51" xfId="0" applyFont="1" applyFill="1" applyBorder="1" applyAlignment="1">
      <alignment vertical="center"/>
    </xf>
    <xf numFmtId="0" fontId="28" fillId="2" borderId="49" xfId="0" applyFont="1" applyFill="1" applyBorder="1" applyAlignment="1">
      <alignment vertical="center"/>
    </xf>
    <xf numFmtId="9" fontId="38" fillId="2" borderId="0" xfId="3" applyFont="1" applyFill="1" applyBorder="1" applyAlignment="1" applyProtection="1">
      <alignment vertical="center" wrapText="1"/>
      <protection hidden="1"/>
    </xf>
    <xf numFmtId="0" fontId="42" fillId="2" borderId="0" xfId="0" applyFont="1" applyFill="1" applyAlignment="1" applyProtection="1">
      <alignment wrapText="1"/>
      <protection hidden="1"/>
    </xf>
    <xf numFmtId="0" fontId="31" fillId="2" borderId="0" xfId="0" applyFont="1" applyFill="1" applyAlignment="1" applyProtection="1">
      <alignment wrapText="1"/>
      <protection hidden="1"/>
    </xf>
    <xf numFmtId="0" fontId="43" fillId="2" borderId="0" xfId="0" applyFont="1" applyFill="1" applyAlignment="1" applyProtection="1">
      <alignment horizontal="center" vertical="center" wrapText="1"/>
      <protection hidden="1"/>
    </xf>
    <xf numFmtId="0" fontId="44" fillId="2" borderId="0" xfId="0" applyFont="1" applyFill="1" applyAlignment="1" applyProtection="1">
      <alignment horizontal="center" vertical="center" wrapText="1"/>
      <protection hidden="1"/>
    </xf>
    <xf numFmtId="0" fontId="43" fillId="2" borderId="0" xfId="0" applyFont="1" applyFill="1" applyAlignment="1" applyProtection="1">
      <alignment vertical="center" wrapText="1"/>
      <protection hidden="1"/>
    </xf>
    <xf numFmtId="0" fontId="42" fillId="2" borderId="0" xfId="0" applyFont="1" applyFill="1" applyAlignment="1" applyProtection="1">
      <alignment horizontal="center" vertical="center" wrapText="1"/>
      <protection hidden="1"/>
    </xf>
    <xf numFmtId="0" fontId="45" fillId="2" borderId="0" xfId="0" applyFont="1" applyFill="1" applyAlignment="1" applyProtection="1">
      <alignment wrapText="1"/>
      <protection hidden="1"/>
    </xf>
    <xf numFmtId="0" fontId="33" fillId="2" borderId="0" xfId="0" applyFont="1" applyFill="1" applyAlignment="1" applyProtection="1">
      <alignment wrapText="1"/>
      <protection hidden="1"/>
    </xf>
    <xf numFmtId="3" fontId="33" fillId="2" borderId="0" xfId="0" applyNumberFormat="1" applyFont="1" applyFill="1" applyAlignment="1" applyProtection="1">
      <alignment vertical="center" wrapText="1"/>
      <protection hidden="1"/>
    </xf>
    <xf numFmtId="3" fontId="33" fillId="2" borderId="0" xfId="0" applyNumberFormat="1" applyFont="1" applyFill="1" applyAlignment="1" applyProtection="1">
      <alignment horizontal="center" vertical="center" wrapText="1"/>
      <protection hidden="1"/>
    </xf>
    <xf numFmtId="0" fontId="46" fillId="2" borderId="52" xfId="0" quotePrefix="1" applyFont="1" applyFill="1" applyBorder="1" applyAlignment="1" applyProtection="1">
      <alignment horizontal="center" vertical="center" wrapText="1"/>
      <protection hidden="1"/>
    </xf>
    <xf numFmtId="1" fontId="45" fillId="2" borderId="0" xfId="0" applyNumberFormat="1" applyFont="1" applyFill="1" applyAlignment="1" applyProtection="1">
      <alignment vertical="center" wrapText="1"/>
      <protection hidden="1"/>
    </xf>
    <xf numFmtId="0" fontId="43" fillId="2" borderId="0" xfId="0" quotePrefix="1" applyFont="1" applyFill="1" applyAlignment="1" applyProtection="1">
      <alignment vertical="center" wrapText="1"/>
      <protection hidden="1"/>
    </xf>
    <xf numFmtId="0" fontId="33" fillId="2" borderId="52" xfId="0" quotePrefix="1" applyFont="1" applyFill="1" applyBorder="1" applyAlignment="1" applyProtection="1">
      <alignment horizontal="center" vertical="center" wrapText="1"/>
      <protection hidden="1"/>
    </xf>
    <xf numFmtId="0" fontId="33" fillId="2" borderId="0" xfId="0" quotePrefix="1" applyFont="1" applyFill="1" applyAlignment="1" applyProtection="1">
      <alignment vertical="center" wrapText="1"/>
      <protection hidden="1"/>
    </xf>
    <xf numFmtId="0" fontId="33" fillId="2" borderId="0" xfId="0" quotePrefix="1" applyFont="1" applyFill="1" applyAlignment="1" applyProtection="1">
      <alignment horizontal="center" vertical="center" wrapText="1"/>
      <protection hidden="1"/>
    </xf>
    <xf numFmtId="0" fontId="46" fillId="2" borderId="0" xfId="0" quotePrefix="1" applyFont="1" applyFill="1" applyAlignment="1" applyProtection="1">
      <alignment horizontal="left" vertical="center" wrapText="1" indent="1"/>
      <protection hidden="1"/>
    </xf>
    <xf numFmtId="0" fontId="33" fillId="2" borderId="0" xfId="0" quotePrefix="1" applyFont="1" applyFill="1" applyAlignment="1" applyProtection="1">
      <alignment horizontal="left" vertical="center" wrapText="1" indent="1"/>
      <protection hidden="1"/>
    </xf>
    <xf numFmtId="3" fontId="33" fillId="2" borderId="1" xfId="0" applyNumberFormat="1" applyFont="1" applyFill="1" applyBorder="1" applyAlignment="1" applyProtection="1">
      <alignment horizontal="center" vertical="center" wrapText="1"/>
      <protection hidden="1"/>
    </xf>
    <xf numFmtId="1" fontId="33" fillId="2" borderId="2" xfId="0" applyNumberFormat="1" applyFont="1" applyFill="1" applyBorder="1" applyAlignment="1" applyProtection="1">
      <alignment vertical="center" wrapText="1"/>
      <protection hidden="1"/>
    </xf>
    <xf numFmtId="0" fontId="33" fillId="2" borderId="0" xfId="0" quotePrefix="1" applyFont="1" applyFill="1" applyAlignment="1" applyProtection="1">
      <alignment horizontal="left" vertical="center" wrapText="1" indent="2"/>
      <protection hidden="1"/>
    </xf>
    <xf numFmtId="1" fontId="33" fillId="2" borderId="3" xfId="0" applyNumberFormat="1" applyFont="1" applyFill="1" applyBorder="1" applyAlignment="1" applyProtection="1">
      <alignment vertical="center" wrapText="1"/>
      <protection hidden="1"/>
    </xf>
    <xf numFmtId="0" fontId="42" fillId="2" borderId="0" xfId="0" applyFont="1" applyFill="1" applyAlignment="1" applyProtection="1">
      <alignment horizontal="left" vertical="center" wrapText="1" indent="1"/>
      <protection hidden="1"/>
    </xf>
    <xf numFmtId="1" fontId="42" fillId="2" borderId="0" xfId="0" applyNumberFormat="1" applyFont="1" applyFill="1" applyAlignment="1" applyProtection="1">
      <alignment horizontal="left" vertical="center" wrapText="1" indent="1"/>
      <protection hidden="1"/>
    </xf>
    <xf numFmtId="1" fontId="42" fillId="2" borderId="0" xfId="0" applyNumberFormat="1" applyFont="1" applyFill="1" applyAlignment="1" applyProtection="1">
      <alignment horizontal="center" vertical="center" wrapText="1"/>
      <protection hidden="1"/>
    </xf>
    <xf numFmtId="1" fontId="31" fillId="2" borderId="0" xfId="0" applyNumberFormat="1" applyFont="1" applyFill="1" applyAlignment="1" applyProtection="1">
      <alignment horizontal="center" vertical="center" wrapText="1"/>
      <protection hidden="1"/>
    </xf>
    <xf numFmtId="0" fontId="33" fillId="2" borderId="0" xfId="0" applyFont="1" applyFill="1" applyAlignment="1" applyProtection="1">
      <alignment horizontal="left" wrapText="1" indent="1"/>
      <protection hidden="1"/>
    </xf>
    <xf numFmtId="3" fontId="42" fillId="2" borderId="0" xfId="0" applyNumberFormat="1" applyFont="1" applyFill="1" applyAlignment="1" applyProtection="1">
      <alignment horizontal="center" vertical="center" wrapText="1"/>
      <protection hidden="1"/>
    </xf>
    <xf numFmtId="0" fontId="33" fillId="3" borderId="0" xfId="0" applyFont="1" applyFill="1" applyAlignment="1" applyProtection="1">
      <alignment wrapText="1"/>
      <protection hidden="1"/>
    </xf>
    <xf numFmtId="0" fontId="33" fillId="3" borderId="0" xfId="0" quotePrefix="1" applyFont="1" applyFill="1" applyAlignment="1" applyProtection="1">
      <alignment horizontal="left" vertical="center" wrapText="1" indent="2"/>
      <protection hidden="1"/>
    </xf>
    <xf numFmtId="3" fontId="33" fillId="3" borderId="0" xfId="0" applyNumberFormat="1" applyFont="1" applyFill="1" applyAlignment="1" applyProtection="1">
      <alignment horizontal="center" vertical="center" wrapText="1"/>
      <protection hidden="1"/>
    </xf>
    <xf numFmtId="3" fontId="33" fillId="3" borderId="1" xfId="0" applyNumberFormat="1" applyFont="1" applyFill="1" applyBorder="1" applyAlignment="1" applyProtection="1">
      <alignment horizontal="center" vertical="center" wrapText="1"/>
      <protection hidden="1"/>
    </xf>
    <xf numFmtId="1" fontId="33" fillId="3" borderId="0" xfId="0" applyNumberFormat="1" applyFont="1" applyFill="1" applyAlignment="1" applyProtection="1">
      <alignment vertical="center" wrapText="1"/>
      <protection hidden="1"/>
    </xf>
    <xf numFmtId="3" fontId="33" fillId="3" borderId="0" xfId="0" applyNumberFormat="1" applyFont="1" applyFill="1" applyAlignment="1" applyProtection="1">
      <alignment vertical="center" wrapText="1"/>
      <protection hidden="1"/>
    </xf>
    <xf numFmtId="0" fontId="33" fillId="4" borderId="0" xfId="0" applyFont="1" applyFill="1" applyAlignment="1" applyProtection="1">
      <alignment wrapText="1"/>
      <protection hidden="1"/>
    </xf>
    <xf numFmtId="0" fontId="33" fillId="4" borderId="4" xfId="0" quotePrefix="1" applyFont="1" applyFill="1" applyBorder="1" applyAlignment="1" applyProtection="1">
      <alignment vertical="center" wrapText="1"/>
      <protection hidden="1"/>
    </xf>
    <xf numFmtId="0" fontId="33" fillId="4" borderId="0" xfId="0" quotePrefix="1" applyFont="1" applyFill="1" applyAlignment="1" applyProtection="1">
      <alignment horizontal="left" vertical="center" wrapText="1" indent="2"/>
      <protection hidden="1"/>
    </xf>
    <xf numFmtId="1" fontId="33" fillId="4" borderId="0" xfId="0" applyNumberFormat="1" applyFont="1" applyFill="1" applyAlignment="1" applyProtection="1">
      <alignment horizontal="center" vertical="center" wrapText="1"/>
      <protection hidden="1"/>
    </xf>
    <xf numFmtId="1" fontId="33" fillId="4" borderId="1" xfId="0" applyNumberFormat="1" applyFont="1" applyFill="1" applyBorder="1" applyAlignment="1" applyProtection="1">
      <alignment horizontal="center" vertical="center" wrapText="1"/>
      <protection hidden="1"/>
    </xf>
    <xf numFmtId="1" fontId="33" fillId="4" borderId="0" xfId="0" applyNumberFormat="1" applyFont="1" applyFill="1" applyAlignment="1" applyProtection="1">
      <alignment vertical="center" wrapText="1"/>
      <protection hidden="1"/>
    </xf>
    <xf numFmtId="3" fontId="33" fillId="4" borderId="0" xfId="0" applyNumberFormat="1" applyFont="1" applyFill="1" applyAlignment="1" applyProtection="1">
      <alignment vertical="center" wrapText="1"/>
      <protection hidden="1"/>
    </xf>
    <xf numFmtId="0" fontId="33" fillId="4" borderId="5" xfId="0" quotePrefix="1" applyFont="1" applyFill="1" applyBorder="1" applyAlignment="1" applyProtection="1">
      <alignment vertical="center" wrapText="1"/>
      <protection hidden="1"/>
    </xf>
    <xf numFmtId="0" fontId="42" fillId="2" borderId="0" xfId="0" quotePrefix="1" applyFont="1" applyFill="1" applyAlignment="1" applyProtection="1">
      <alignment horizontal="left" vertical="center" wrapText="1" indent="2"/>
      <protection hidden="1"/>
    </xf>
    <xf numFmtId="3" fontId="43" fillId="2" borderId="0" xfId="0" applyNumberFormat="1" applyFont="1" applyFill="1" applyAlignment="1" applyProtection="1">
      <alignment horizontal="center" vertical="center" wrapText="1"/>
      <protection hidden="1"/>
    </xf>
    <xf numFmtId="1" fontId="43" fillId="2" borderId="0" xfId="0" applyNumberFormat="1" applyFont="1" applyFill="1" applyAlignment="1" applyProtection="1">
      <alignment vertical="center" wrapText="1"/>
      <protection hidden="1"/>
    </xf>
    <xf numFmtId="1" fontId="31" fillId="2" borderId="0" xfId="0" applyNumberFormat="1" applyFont="1" applyFill="1" applyAlignment="1" applyProtection="1">
      <alignment vertical="center" wrapText="1"/>
      <protection hidden="1"/>
    </xf>
    <xf numFmtId="1" fontId="42" fillId="2" borderId="0" xfId="0" applyNumberFormat="1" applyFont="1" applyFill="1" applyAlignment="1" applyProtection="1">
      <alignment vertical="center" wrapText="1"/>
      <protection hidden="1"/>
    </xf>
    <xf numFmtId="3" fontId="42" fillId="2" borderId="0" xfId="0" applyNumberFormat="1" applyFont="1" applyFill="1" applyAlignment="1" applyProtection="1">
      <alignment vertical="center" wrapText="1"/>
      <protection hidden="1"/>
    </xf>
    <xf numFmtId="0" fontId="46" fillId="2" borderId="6" xfId="0" quotePrefix="1" applyFont="1" applyFill="1" applyBorder="1" applyAlignment="1" applyProtection="1">
      <alignment vertical="center" wrapText="1"/>
      <protection hidden="1"/>
    </xf>
    <xf numFmtId="3" fontId="33" fillId="2" borderId="53" xfId="0" applyNumberFormat="1" applyFont="1" applyFill="1" applyBorder="1" applyAlignment="1" applyProtection="1">
      <alignment horizontal="center" vertical="center" wrapText="1"/>
      <protection hidden="1"/>
    </xf>
    <xf numFmtId="3" fontId="33" fillId="2" borderId="54" xfId="0" applyNumberFormat="1" applyFont="1" applyFill="1" applyBorder="1" applyAlignment="1" applyProtection="1">
      <alignment horizontal="center" vertical="center" wrapText="1"/>
      <protection hidden="1"/>
    </xf>
    <xf numFmtId="4" fontId="33" fillId="2" borderId="53" xfId="0" applyNumberFormat="1" applyFont="1" applyFill="1" applyBorder="1" applyAlignment="1" applyProtection="1">
      <alignment horizontal="center" vertical="center" wrapText="1"/>
      <protection hidden="1"/>
    </xf>
    <xf numFmtId="4" fontId="33" fillId="2" borderId="0" xfId="0" applyNumberFormat="1" applyFont="1" applyFill="1" applyAlignment="1" applyProtection="1">
      <alignment horizontal="center" vertical="center" wrapText="1"/>
      <protection hidden="1"/>
    </xf>
    <xf numFmtId="0" fontId="47" fillId="2" borderId="0" xfId="0" applyFont="1" applyFill="1" applyAlignment="1" applyProtection="1">
      <alignment wrapText="1"/>
      <protection hidden="1"/>
    </xf>
    <xf numFmtId="1" fontId="48" fillId="2" borderId="0" xfId="0" applyNumberFormat="1" applyFont="1" applyFill="1" applyAlignment="1" applyProtection="1">
      <alignment vertical="center" wrapText="1"/>
      <protection hidden="1"/>
    </xf>
    <xf numFmtId="3" fontId="33" fillId="2" borderId="52" xfId="0" applyNumberFormat="1" applyFont="1" applyFill="1" applyBorder="1" applyAlignment="1" applyProtection="1">
      <alignment horizontal="center" vertical="center" wrapText="1"/>
      <protection hidden="1"/>
    </xf>
    <xf numFmtId="168" fontId="33" fillId="2" borderId="0" xfId="0" applyNumberFormat="1" applyFont="1" applyFill="1" applyAlignment="1" applyProtection="1">
      <alignment horizontal="center" vertical="center" wrapText="1"/>
      <protection hidden="1"/>
    </xf>
    <xf numFmtId="168" fontId="46" fillId="2" borderId="55" xfId="0" applyNumberFormat="1" applyFont="1" applyFill="1" applyBorder="1" applyAlignment="1" applyProtection="1">
      <alignment vertical="center" wrapText="1"/>
      <protection hidden="1"/>
    </xf>
    <xf numFmtId="1" fontId="49" fillId="2" borderId="0" xfId="0" quotePrefix="1" applyNumberFormat="1" applyFont="1" applyFill="1" applyProtection="1">
      <protection hidden="1"/>
    </xf>
    <xf numFmtId="0" fontId="31" fillId="2" borderId="0" xfId="0" applyFont="1" applyFill="1" applyAlignment="1" applyProtection="1">
      <alignment horizontal="center" vertical="center" wrapText="1"/>
      <protection hidden="1"/>
    </xf>
    <xf numFmtId="166" fontId="45" fillId="2" borderId="0" xfId="3" applyNumberFormat="1" applyFont="1" applyFill="1" applyBorder="1" applyAlignment="1" applyProtection="1">
      <alignment vertical="center" wrapText="1"/>
      <protection hidden="1"/>
    </xf>
    <xf numFmtId="166" fontId="33" fillId="2" borderId="0" xfId="3" applyNumberFormat="1" applyFont="1" applyFill="1" applyBorder="1" applyAlignment="1" applyProtection="1">
      <alignment vertical="center" wrapText="1"/>
      <protection hidden="1"/>
    </xf>
    <xf numFmtId="3" fontId="45" fillId="2" borderId="0" xfId="0" applyNumberFormat="1" applyFont="1" applyFill="1" applyAlignment="1" applyProtection="1">
      <alignment vertical="center" wrapText="1"/>
      <protection hidden="1"/>
    </xf>
    <xf numFmtId="166" fontId="33" fillId="2" borderId="0" xfId="3" applyNumberFormat="1" applyFont="1" applyFill="1" applyBorder="1" applyAlignment="1" applyProtection="1">
      <alignment horizontal="center" vertical="center" wrapText="1"/>
      <protection hidden="1"/>
    </xf>
    <xf numFmtId="0" fontId="33" fillId="2" borderId="0" xfId="0" applyFont="1" applyFill="1" applyAlignment="1" applyProtection="1">
      <alignment horizontal="left" vertical="center" wrapText="1" indent="1"/>
      <protection hidden="1"/>
    </xf>
    <xf numFmtId="166" fontId="33" fillId="2" borderId="0" xfId="0" applyNumberFormat="1" applyFont="1" applyFill="1" applyProtection="1">
      <protection hidden="1"/>
    </xf>
    <xf numFmtId="9" fontId="33" fillId="2" borderId="0" xfId="3" applyFont="1" applyFill="1" applyBorder="1" applyAlignment="1" applyProtection="1">
      <alignment horizontal="center" vertical="center" wrapText="1"/>
      <protection hidden="1"/>
    </xf>
    <xf numFmtId="0" fontId="33" fillId="2" borderId="53" xfId="0" quotePrefix="1" applyFont="1" applyFill="1" applyBorder="1" applyAlignment="1" applyProtection="1">
      <alignment horizontal="center" vertical="center" wrapText="1"/>
      <protection hidden="1"/>
    </xf>
    <xf numFmtId="0" fontId="38" fillId="2" borderId="53" xfId="0" applyFont="1" applyFill="1" applyBorder="1" applyAlignment="1" applyProtection="1">
      <alignment vertical="center"/>
      <protection hidden="1"/>
    </xf>
    <xf numFmtId="0" fontId="38" fillId="2" borderId="53" xfId="0" applyFont="1" applyFill="1" applyBorder="1" applyAlignment="1" applyProtection="1">
      <alignment horizontal="right" vertical="center" indent="1"/>
      <protection hidden="1"/>
    </xf>
    <xf numFmtId="0" fontId="49" fillId="2" borderId="0" xfId="0" applyFont="1" applyFill="1" applyAlignment="1" applyProtection="1">
      <alignment wrapText="1"/>
      <protection hidden="1"/>
    </xf>
    <xf numFmtId="0" fontId="50" fillId="2" borderId="0" xfId="0" applyFont="1" applyFill="1" applyAlignment="1" applyProtection="1">
      <alignment wrapText="1"/>
      <protection hidden="1"/>
    </xf>
    <xf numFmtId="0" fontId="42" fillId="2" borderId="0" xfId="0" applyFont="1" applyFill="1" applyAlignment="1">
      <alignment wrapText="1"/>
    </xf>
    <xf numFmtId="0" fontId="33" fillId="2" borderId="0" xfId="0" applyFont="1" applyFill="1" applyAlignment="1">
      <alignment wrapText="1"/>
    </xf>
    <xf numFmtId="3" fontId="33" fillId="2" borderId="0" xfId="0" applyNumberFormat="1" applyFont="1" applyFill="1" applyAlignment="1">
      <alignment horizontal="center" vertical="center" wrapText="1"/>
    </xf>
    <xf numFmtId="0" fontId="33" fillId="2" borderId="0" xfId="0" applyFont="1" applyFill="1" applyAlignment="1">
      <alignment horizontal="center" vertical="center" wrapText="1"/>
    </xf>
    <xf numFmtId="0" fontId="33" fillId="2" borderId="0" xfId="0" quotePrefix="1" applyFont="1" applyFill="1" applyAlignment="1">
      <alignment horizontal="left" vertical="center" wrapText="1" indent="2"/>
    </xf>
    <xf numFmtId="0" fontId="33" fillId="2" borderId="0" xfId="0" applyFont="1" applyFill="1" applyAlignment="1">
      <alignment vertical="center" wrapText="1"/>
    </xf>
    <xf numFmtId="0" fontId="46" fillId="2" borderId="0" xfId="0" quotePrefix="1" applyFont="1" applyFill="1" applyAlignment="1">
      <alignment horizontal="left" vertical="center" wrapText="1" indent="2"/>
    </xf>
    <xf numFmtId="0" fontId="33" fillId="2" borderId="0" xfId="0" quotePrefix="1" applyFont="1" applyFill="1" applyAlignment="1">
      <alignment vertical="center"/>
    </xf>
    <xf numFmtId="3" fontId="46" fillId="2" borderId="0" xfId="0" applyNumberFormat="1" applyFont="1" applyFill="1" applyAlignment="1">
      <alignment horizontal="center" vertical="center" wrapText="1"/>
    </xf>
    <xf numFmtId="0" fontId="46" fillId="2" borderId="0" xfId="0" applyFont="1" applyFill="1" applyAlignment="1">
      <alignment wrapText="1"/>
    </xf>
    <xf numFmtId="0" fontId="46" fillId="2" borderId="0" xfId="0" quotePrefix="1" applyFont="1" applyFill="1" applyAlignment="1">
      <alignment vertical="center" wrapText="1"/>
    </xf>
    <xf numFmtId="0" fontId="46" fillId="2" borderId="0" xfId="0" applyFont="1" applyFill="1" applyAlignment="1">
      <alignment vertical="center" wrapText="1"/>
    </xf>
    <xf numFmtId="0" fontId="46" fillId="2" borderId="0" xfId="0" quotePrefix="1" applyFont="1" applyFill="1" applyAlignment="1">
      <alignment horizontal="left" vertical="center" indent="1"/>
    </xf>
    <xf numFmtId="0" fontId="33" fillId="2" borderId="0" xfId="0" quotePrefix="1" applyFont="1" applyFill="1" applyAlignment="1">
      <alignment horizontal="left" vertical="center" indent="1"/>
    </xf>
    <xf numFmtId="0" fontId="43" fillId="2" borderId="0" xfId="0" applyFont="1" applyFill="1" applyAlignment="1">
      <alignment wrapText="1"/>
    </xf>
    <xf numFmtId="0" fontId="33" fillId="2" borderId="0" xfId="0" quotePrefix="1" applyFont="1" applyFill="1" applyAlignment="1">
      <alignment horizontal="left" vertical="center"/>
    </xf>
    <xf numFmtId="1" fontId="42" fillId="2" borderId="0" xfId="0" applyNumberFormat="1" applyFont="1" applyFill="1" applyAlignment="1">
      <alignment horizontal="center" vertical="center" wrapText="1"/>
    </xf>
    <xf numFmtId="3" fontId="48" fillId="2" borderId="0" xfId="0" quotePrefix="1" applyNumberFormat="1" applyFont="1" applyFill="1" applyAlignment="1">
      <alignment wrapText="1"/>
    </xf>
    <xf numFmtId="0" fontId="43" fillId="2" borderId="0" xfId="0" applyFont="1" applyFill="1" applyAlignment="1">
      <alignment horizontal="center" vertical="center" wrapText="1"/>
    </xf>
    <xf numFmtId="0" fontId="33" fillId="2" borderId="55" xfId="0" applyFont="1" applyFill="1" applyBorder="1" applyAlignment="1">
      <alignment wrapText="1"/>
    </xf>
    <xf numFmtId="0" fontId="51" fillId="2" borderId="0" xfId="0" quotePrefix="1" applyFont="1" applyFill="1" applyAlignment="1">
      <alignment horizontal="center" vertical="center" wrapText="1"/>
    </xf>
    <xf numFmtId="0" fontId="42" fillId="2" borderId="0" xfId="0" applyFont="1" applyFill="1" applyAlignment="1" applyProtection="1">
      <alignment horizontal="left" vertical="top" wrapText="1"/>
      <protection hidden="1"/>
    </xf>
    <xf numFmtId="0" fontId="42" fillId="2" borderId="56" xfId="0" applyFont="1" applyFill="1" applyBorder="1" applyAlignment="1" applyProtection="1">
      <alignment horizontal="left" vertical="top" wrapText="1"/>
      <protection hidden="1"/>
    </xf>
    <xf numFmtId="0" fontId="42" fillId="2" borderId="0" xfId="0" applyFont="1" applyFill="1" applyAlignment="1" applyProtection="1">
      <alignment horizontal="left" vertical="center" wrapText="1"/>
      <protection hidden="1"/>
    </xf>
    <xf numFmtId="0" fontId="52" fillId="2" borderId="57" xfId="0" quotePrefix="1" applyFont="1" applyFill="1" applyBorder="1" applyAlignment="1" applyProtection="1">
      <alignment vertical="center" wrapText="1"/>
      <protection hidden="1"/>
    </xf>
    <xf numFmtId="0" fontId="33" fillId="2" borderId="0" xfId="0" applyFont="1" applyFill="1" applyAlignment="1" applyProtection="1">
      <alignment horizontal="left" vertical="top" wrapText="1"/>
      <protection hidden="1"/>
    </xf>
    <xf numFmtId="0" fontId="33" fillId="2" borderId="56" xfId="0" applyFont="1" applyFill="1" applyBorder="1" applyAlignment="1" applyProtection="1">
      <alignment horizontal="left" vertical="top" wrapText="1"/>
      <protection hidden="1"/>
    </xf>
    <xf numFmtId="0" fontId="52" fillId="2" borderId="0" xfId="0" quotePrefix="1" applyFont="1" applyFill="1" applyAlignment="1" applyProtection="1">
      <alignment vertical="center" wrapText="1"/>
      <protection hidden="1"/>
    </xf>
    <xf numFmtId="0" fontId="52" fillId="2" borderId="0" xfId="0" quotePrefix="1" applyFont="1" applyFill="1" applyAlignment="1" applyProtection="1">
      <alignment horizontal="center" vertical="center" wrapText="1"/>
      <protection hidden="1"/>
    </xf>
    <xf numFmtId="0" fontId="52" fillId="2" borderId="7" xfId="0" quotePrefix="1" applyFont="1" applyFill="1" applyBorder="1" applyAlignment="1" applyProtection="1">
      <alignment horizontal="center" vertical="center" wrapText="1"/>
      <protection hidden="1"/>
    </xf>
    <xf numFmtId="0" fontId="52" fillId="2" borderId="0" xfId="0" quotePrefix="1" applyFont="1" applyFill="1" applyAlignment="1" applyProtection="1">
      <alignment horizontal="center" vertical="top" wrapText="1"/>
      <protection hidden="1"/>
    </xf>
    <xf numFmtId="0" fontId="43" fillId="2" borderId="58" xfId="0" applyFont="1" applyFill="1" applyBorder="1" applyAlignment="1" applyProtection="1">
      <alignment horizontal="center" vertical="center" wrapText="1"/>
      <protection hidden="1"/>
    </xf>
    <xf numFmtId="0" fontId="52" fillId="2" borderId="53" xfId="0" quotePrefix="1" applyFont="1" applyFill="1" applyBorder="1" applyAlignment="1" applyProtection="1">
      <alignment horizontal="center" vertical="center" wrapText="1"/>
      <protection hidden="1"/>
    </xf>
    <xf numFmtId="0" fontId="33" fillId="2" borderId="0" xfId="0" quotePrefix="1" applyFont="1" applyFill="1" applyAlignment="1" applyProtection="1">
      <alignment horizontal="left" vertical="top" wrapText="1" indent="1"/>
      <protection hidden="1"/>
    </xf>
    <xf numFmtId="3" fontId="53" fillId="2" borderId="0" xfId="0" quotePrefix="1" applyNumberFormat="1" applyFont="1" applyFill="1" applyAlignment="1" applyProtection="1">
      <alignment horizontal="center" vertical="center" wrapText="1"/>
      <protection hidden="1"/>
    </xf>
    <xf numFmtId="0" fontId="53" fillId="2" borderId="0" xfId="0" quotePrefix="1" applyFont="1" applyFill="1" applyAlignment="1" applyProtection="1">
      <alignment horizontal="center" vertical="center" wrapText="1"/>
      <protection hidden="1"/>
    </xf>
    <xf numFmtId="1" fontId="33" fillId="2" borderId="0" xfId="0" applyNumberFormat="1" applyFont="1" applyFill="1" applyAlignment="1" applyProtection="1">
      <alignment horizontal="left" vertical="top" wrapText="1"/>
      <protection hidden="1"/>
    </xf>
    <xf numFmtId="1" fontId="53" fillId="2" borderId="0" xfId="0" quotePrefix="1" applyNumberFormat="1" applyFont="1" applyFill="1" applyAlignment="1" applyProtection="1">
      <alignment horizontal="center" vertical="center" wrapText="1"/>
      <protection hidden="1"/>
    </xf>
    <xf numFmtId="1" fontId="33" fillId="2" borderId="0" xfId="0" quotePrefix="1" applyNumberFormat="1" applyFont="1" applyFill="1" applyAlignment="1" applyProtection="1">
      <alignment horizontal="left" vertical="top" wrapText="1" indent="1"/>
      <protection hidden="1"/>
    </xf>
    <xf numFmtId="1" fontId="33" fillId="2" borderId="53" xfId="0" applyNumberFormat="1" applyFont="1" applyFill="1" applyBorder="1" applyAlignment="1" applyProtection="1">
      <alignment horizontal="center" vertical="center" wrapText="1"/>
      <protection hidden="1"/>
    </xf>
    <xf numFmtId="0" fontId="33" fillId="2" borderId="0" xfId="0" applyFont="1" applyFill="1" applyAlignment="1" applyProtection="1">
      <alignment horizontal="left" vertical="center" wrapText="1"/>
      <protection hidden="1"/>
    </xf>
    <xf numFmtId="0" fontId="33" fillId="2" borderId="8" xfId="0" quotePrefix="1" applyFont="1" applyFill="1" applyBorder="1" applyAlignment="1" applyProtection="1">
      <alignment horizontal="left" vertical="top" wrapText="1" indent="1"/>
      <protection hidden="1"/>
    </xf>
    <xf numFmtId="0" fontId="42" fillId="2" borderId="0" xfId="0" applyFont="1" applyFill="1" applyAlignment="1" applyProtection="1">
      <alignment horizontal="center" vertical="top" wrapText="1"/>
      <protection hidden="1"/>
    </xf>
    <xf numFmtId="1" fontId="52" fillId="2" borderId="53" xfId="0" quotePrefix="1" applyNumberFormat="1" applyFont="1" applyFill="1" applyBorder="1" applyAlignment="1" applyProtection="1">
      <alignment horizontal="center" vertical="center" wrapText="1"/>
      <protection hidden="1"/>
    </xf>
    <xf numFmtId="0" fontId="53" fillId="2" borderId="9" xfId="0" quotePrefix="1" applyFont="1" applyFill="1" applyBorder="1" applyAlignment="1" applyProtection="1">
      <alignment horizontal="center" vertical="center" wrapText="1"/>
      <protection hidden="1"/>
    </xf>
    <xf numFmtId="9" fontId="33" fillId="2" borderId="2" xfId="0" applyNumberFormat="1" applyFont="1" applyFill="1" applyBorder="1" applyAlignment="1" applyProtection="1">
      <alignment horizontal="center" vertical="center" wrapText="1"/>
      <protection hidden="1"/>
    </xf>
    <xf numFmtId="9" fontId="33" fillId="2" borderId="0" xfId="0" applyNumberFormat="1" applyFont="1" applyFill="1" applyAlignment="1" applyProtection="1">
      <alignment horizontal="center" vertical="center" wrapText="1"/>
      <protection hidden="1"/>
    </xf>
    <xf numFmtId="1" fontId="53" fillId="2" borderId="53" xfId="0" quotePrefix="1" applyNumberFormat="1" applyFont="1" applyFill="1" applyBorder="1" applyAlignment="1" applyProtection="1">
      <alignment horizontal="center" vertical="center" wrapText="1"/>
      <protection hidden="1"/>
    </xf>
    <xf numFmtId="0" fontId="53" fillId="2" borderId="10" xfId="0" quotePrefix="1" applyFont="1" applyFill="1" applyBorder="1" applyAlignment="1" applyProtection="1">
      <alignment horizontal="center" vertical="center" wrapText="1"/>
      <protection hidden="1"/>
    </xf>
    <xf numFmtId="9" fontId="33" fillId="2" borderId="3" xfId="0" applyNumberFormat="1" applyFont="1" applyFill="1" applyBorder="1" applyAlignment="1" applyProtection="1">
      <alignment horizontal="center" vertical="center" wrapText="1"/>
      <protection hidden="1"/>
    </xf>
    <xf numFmtId="0" fontId="53" fillId="2" borderId="11" xfId="0" quotePrefix="1" applyFont="1" applyFill="1" applyBorder="1" applyAlignment="1" applyProtection="1">
      <alignment horizontal="center" vertical="center" wrapText="1"/>
      <protection hidden="1"/>
    </xf>
    <xf numFmtId="9" fontId="33" fillId="2" borderId="4" xfId="0" applyNumberFormat="1" applyFont="1" applyFill="1" applyBorder="1" applyAlignment="1" applyProtection="1">
      <alignment horizontal="center" vertical="center" wrapText="1"/>
      <protection hidden="1"/>
    </xf>
    <xf numFmtId="0" fontId="33" fillId="2" borderId="56" xfId="0" applyFont="1" applyFill="1" applyBorder="1" applyAlignment="1" applyProtection="1">
      <alignment horizontal="center" vertical="center" wrapText="1"/>
      <protection hidden="1"/>
    </xf>
    <xf numFmtId="1" fontId="33" fillId="2" borderId="53" xfId="0" quotePrefix="1" applyNumberFormat="1" applyFont="1" applyFill="1" applyBorder="1" applyAlignment="1" applyProtection="1">
      <alignment horizontal="center" vertical="center" wrapText="1"/>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horizontal="left" vertical="top"/>
      <protection hidden="1"/>
    </xf>
    <xf numFmtId="0" fontId="32" fillId="2" borderId="0" xfId="0" applyFont="1" applyFill="1" applyAlignment="1" applyProtection="1">
      <alignment vertical="center"/>
      <protection hidden="1"/>
    </xf>
    <xf numFmtId="0" fontId="0" fillId="5" borderId="59" xfId="0" applyFill="1" applyBorder="1" applyAlignment="1" applyProtection="1">
      <alignment vertical="top"/>
      <protection hidden="1"/>
    </xf>
    <xf numFmtId="0" fontId="0" fillId="5" borderId="60" xfId="0" applyFill="1" applyBorder="1" applyAlignment="1" applyProtection="1">
      <alignment vertical="top"/>
      <protection hidden="1"/>
    </xf>
    <xf numFmtId="0" fontId="28" fillId="2" borderId="0" xfId="0" applyFont="1" applyFill="1" applyAlignment="1" applyProtection="1">
      <alignment vertical="top"/>
      <protection hidden="1"/>
    </xf>
    <xf numFmtId="0" fontId="28" fillId="2" borderId="0" xfId="0" applyFont="1" applyFill="1" applyAlignment="1" applyProtection="1">
      <alignment vertical="top" wrapText="1"/>
      <protection hidden="1"/>
    </xf>
    <xf numFmtId="0" fontId="38" fillId="2" borderId="0" xfId="0" applyFont="1" applyFill="1" applyAlignment="1" applyProtection="1">
      <alignment vertical="top" wrapText="1"/>
      <protection hidden="1"/>
    </xf>
    <xf numFmtId="0" fontId="38" fillId="2" borderId="0" xfId="0" applyFont="1" applyFill="1" applyAlignment="1" applyProtection="1">
      <alignment horizontal="right" vertical="top" wrapText="1" indent="1"/>
      <protection hidden="1"/>
    </xf>
    <xf numFmtId="0" fontId="41" fillId="2" borderId="0" xfId="0" applyFont="1" applyFill="1" applyAlignment="1" applyProtection="1">
      <alignment vertical="top"/>
      <protection hidden="1"/>
    </xf>
    <xf numFmtId="3" fontId="38" fillId="2" borderId="0" xfId="0" applyNumberFormat="1" applyFont="1" applyFill="1" applyAlignment="1" applyProtection="1">
      <alignment vertical="top"/>
      <protection hidden="1"/>
    </xf>
    <xf numFmtId="3" fontId="38" fillId="2" borderId="61" xfId="0" applyNumberFormat="1" applyFont="1" applyFill="1" applyBorder="1" applyAlignment="1" applyProtection="1">
      <alignment horizontal="center" vertical="center"/>
      <protection hidden="1"/>
    </xf>
    <xf numFmtId="2" fontId="38" fillId="2" borderId="0" xfId="0" applyNumberFormat="1" applyFont="1" applyFill="1" applyAlignment="1" applyProtection="1">
      <alignment horizontal="center" vertical="center"/>
      <protection hidden="1"/>
    </xf>
    <xf numFmtId="1" fontId="38" fillId="2" borderId="61" xfId="0" applyNumberFormat="1" applyFont="1" applyFill="1" applyBorder="1" applyAlignment="1" applyProtection="1">
      <alignment horizontal="center" vertical="center"/>
      <protection hidden="1"/>
    </xf>
    <xf numFmtId="2" fontId="38" fillId="2" borderId="61" xfId="0" applyNumberFormat="1" applyFont="1" applyFill="1" applyBorder="1" applyAlignment="1" applyProtection="1">
      <alignment horizontal="center" vertical="center"/>
      <protection hidden="1"/>
    </xf>
    <xf numFmtId="3" fontId="38" fillId="5" borderId="61" xfId="0" applyNumberFormat="1" applyFont="1" applyFill="1" applyBorder="1" applyAlignment="1" applyProtection="1">
      <alignment horizontal="center" vertical="center"/>
      <protection hidden="1"/>
    </xf>
    <xf numFmtId="1" fontId="38" fillId="5" borderId="61" xfId="0" applyNumberFormat="1" applyFont="1" applyFill="1" applyBorder="1" applyAlignment="1" applyProtection="1">
      <alignment horizontal="center" vertical="center"/>
      <protection hidden="1"/>
    </xf>
    <xf numFmtId="2" fontId="38" fillId="5" borderId="61" xfId="0" applyNumberFormat="1" applyFont="1" applyFill="1" applyBorder="1" applyAlignment="1" applyProtection="1">
      <alignment horizontal="center" vertical="center"/>
      <protection hidden="1"/>
    </xf>
    <xf numFmtId="166" fontId="38" fillId="2" borderId="0" xfId="0" applyNumberFormat="1" applyFont="1" applyFill="1" applyAlignment="1" applyProtection="1">
      <alignment vertical="center" wrapText="1"/>
      <protection hidden="1"/>
    </xf>
    <xf numFmtId="0" fontId="28" fillId="2" borderId="0" xfId="0" applyFont="1" applyFill="1" applyAlignment="1" applyProtection="1">
      <alignment vertical="center" wrapText="1"/>
      <protection hidden="1"/>
    </xf>
    <xf numFmtId="9" fontId="38" fillId="2" borderId="0" xfId="3" applyFont="1" applyFill="1" applyBorder="1" applyAlignment="1" applyProtection="1">
      <alignment horizontal="center" vertical="center" wrapText="1"/>
      <protection hidden="1"/>
    </xf>
    <xf numFmtId="9" fontId="45" fillId="2" borderId="0" xfId="3" applyFont="1" applyFill="1" applyBorder="1" applyAlignment="1" applyProtection="1">
      <alignment horizontal="center" vertical="center"/>
      <protection hidden="1"/>
    </xf>
    <xf numFmtId="0" fontId="54" fillId="2" borderId="0" xfId="0" applyFont="1" applyFill="1" applyAlignment="1" applyProtection="1">
      <alignment horizontal="left" vertical="top" wrapText="1"/>
      <protection hidden="1"/>
    </xf>
    <xf numFmtId="0" fontId="0" fillId="2" borderId="0" xfId="0" applyFill="1" applyAlignment="1" applyProtection="1">
      <alignment horizontal="center" vertical="top"/>
      <protection hidden="1"/>
    </xf>
    <xf numFmtId="3" fontId="33" fillId="2" borderId="12" xfId="0" applyNumberFormat="1" applyFont="1" applyFill="1" applyBorder="1" applyAlignment="1" applyProtection="1">
      <alignment horizontal="center" vertical="center" wrapText="1"/>
      <protection hidden="1"/>
    </xf>
    <xf numFmtId="3" fontId="33" fillId="2" borderId="13" xfId="0" applyNumberFormat="1" applyFont="1" applyFill="1" applyBorder="1" applyAlignment="1" applyProtection="1">
      <alignment horizontal="center" vertical="center" wrapText="1"/>
      <protection hidden="1"/>
    </xf>
    <xf numFmtId="3" fontId="33" fillId="2" borderId="14" xfId="0" applyNumberFormat="1" applyFont="1" applyFill="1" applyBorder="1" applyAlignment="1" applyProtection="1">
      <alignment horizontal="center" vertical="center" wrapText="1"/>
      <protection hidden="1"/>
    </xf>
    <xf numFmtId="3" fontId="33" fillId="4" borderId="0" xfId="0" applyNumberFormat="1" applyFont="1" applyFill="1" applyAlignment="1" applyProtection="1">
      <alignment horizontal="center" vertical="center" wrapText="1"/>
      <protection hidden="1"/>
    </xf>
    <xf numFmtId="3" fontId="33" fillId="4" borderId="1" xfId="0" applyNumberFormat="1" applyFont="1" applyFill="1" applyBorder="1" applyAlignment="1" applyProtection="1">
      <alignment horizontal="center" vertical="center" wrapText="1"/>
      <protection hidden="1"/>
    </xf>
    <xf numFmtId="1" fontId="45" fillId="4" borderId="0" xfId="0" applyNumberFormat="1" applyFont="1" applyFill="1" applyAlignment="1" applyProtection="1">
      <alignment vertical="center" wrapText="1"/>
      <protection hidden="1"/>
    </xf>
    <xf numFmtId="0" fontId="42" fillId="3" borderId="0" xfId="0" applyFont="1" applyFill="1" applyAlignment="1" applyProtection="1">
      <alignment horizontal="left" vertical="center" wrapText="1" indent="1"/>
      <protection hidden="1"/>
    </xf>
    <xf numFmtId="1" fontId="42" fillId="3" borderId="0" xfId="0" applyNumberFormat="1" applyFont="1" applyFill="1" applyAlignment="1" applyProtection="1">
      <alignment horizontal="left" vertical="center" wrapText="1" indent="1"/>
      <protection hidden="1"/>
    </xf>
    <xf numFmtId="1" fontId="42" fillId="3" borderId="0" xfId="0" applyNumberFormat="1" applyFont="1" applyFill="1" applyAlignment="1" applyProtection="1">
      <alignment horizontal="center" vertical="center" wrapText="1"/>
      <protection hidden="1"/>
    </xf>
    <xf numFmtId="1" fontId="31" fillId="3" borderId="0" xfId="0" applyNumberFormat="1" applyFont="1" applyFill="1" applyAlignment="1" applyProtection="1">
      <alignment horizontal="center" vertical="center" wrapText="1"/>
      <protection hidden="1"/>
    </xf>
    <xf numFmtId="0" fontId="42" fillId="3" borderId="0" xfId="0" applyFont="1" applyFill="1" applyAlignment="1" applyProtection="1">
      <alignment wrapText="1"/>
      <protection hidden="1"/>
    </xf>
    <xf numFmtId="0" fontId="55" fillId="2" borderId="15" xfId="0" quotePrefix="1" applyFont="1" applyFill="1" applyBorder="1" applyAlignment="1" applyProtection="1">
      <alignment vertical="center" wrapText="1"/>
      <protection hidden="1"/>
    </xf>
    <xf numFmtId="0" fontId="55" fillId="2" borderId="0" xfId="0" quotePrefix="1" applyFont="1" applyFill="1" applyAlignment="1" applyProtection="1">
      <alignment horizontal="center" vertical="center" wrapText="1"/>
      <protection hidden="1"/>
    </xf>
    <xf numFmtId="0" fontId="43" fillId="2" borderId="8" xfId="0" applyFont="1" applyFill="1" applyBorder="1" applyAlignment="1" applyProtection="1">
      <alignment horizontal="center" vertical="center" wrapText="1"/>
      <protection hidden="1"/>
    </xf>
    <xf numFmtId="0" fontId="33" fillId="2" borderId="0" xfId="0" applyFont="1" applyFill="1" applyAlignment="1" applyProtection="1">
      <alignment vertical="center" wrapText="1"/>
      <protection hidden="1"/>
    </xf>
    <xf numFmtId="0" fontId="33" fillId="2" borderId="62" xfId="0" applyFont="1" applyFill="1" applyBorder="1" applyAlignment="1" applyProtection="1">
      <alignment wrapText="1"/>
      <protection hidden="1"/>
    </xf>
    <xf numFmtId="0" fontId="33" fillId="2" borderId="62" xfId="0" applyFont="1" applyFill="1" applyBorder="1" applyAlignment="1" applyProtection="1">
      <alignment horizontal="center" vertical="center" wrapText="1"/>
      <protection hidden="1"/>
    </xf>
    <xf numFmtId="168" fontId="33" fillId="2" borderId="12" xfId="0" applyNumberFormat="1" applyFont="1" applyFill="1" applyBorder="1" applyAlignment="1" applyProtection="1">
      <alignment horizontal="center" vertical="center" wrapText="1"/>
      <protection hidden="1"/>
    </xf>
    <xf numFmtId="168" fontId="33" fillId="2" borderId="13" xfId="0" applyNumberFormat="1" applyFont="1" applyFill="1" applyBorder="1" applyAlignment="1" applyProtection="1">
      <alignment horizontal="center" vertical="center" wrapText="1"/>
      <protection hidden="1"/>
    </xf>
    <xf numFmtId="168" fontId="33" fillId="2" borderId="14" xfId="0" applyNumberFormat="1" applyFont="1" applyFill="1" applyBorder="1" applyAlignment="1" applyProtection="1">
      <alignment horizontal="center" vertical="center" wrapText="1"/>
      <protection hidden="1"/>
    </xf>
    <xf numFmtId="3" fontId="33" fillId="2" borderId="0" xfId="0" applyNumberFormat="1" applyFont="1" applyFill="1" applyAlignment="1" applyProtection="1">
      <alignment horizontal="center" vertical="center" textRotation="90" wrapText="1"/>
      <protection hidden="1"/>
    </xf>
    <xf numFmtId="0" fontId="4" fillId="2" borderId="0" xfId="0" quotePrefix="1" applyFont="1" applyFill="1" applyAlignment="1" applyProtection="1">
      <alignment horizontal="center" vertical="top"/>
      <protection hidden="1"/>
    </xf>
    <xf numFmtId="1" fontId="46" fillId="2" borderId="0" xfId="0" applyNumberFormat="1" applyFont="1" applyFill="1" applyAlignment="1" applyProtection="1">
      <alignment horizontal="center" vertical="center" wrapText="1"/>
      <protection hidden="1"/>
    </xf>
    <xf numFmtId="0" fontId="31" fillId="2" borderId="0" xfId="0" applyFont="1" applyFill="1" applyAlignment="1" applyProtection="1">
      <alignment vertical="center"/>
      <protection hidden="1"/>
    </xf>
    <xf numFmtId="0" fontId="38" fillId="2" borderId="0" xfId="0" applyFont="1" applyFill="1" applyAlignment="1" applyProtection="1">
      <alignment horizontal="center" vertical="center" wrapText="1"/>
      <protection hidden="1"/>
    </xf>
    <xf numFmtId="1" fontId="33" fillId="2" borderId="0" xfId="0" applyNumberFormat="1" applyFont="1" applyFill="1" applyAlignment="1" applyProtection="1">
      <alignment horizontal="center" vertical="center" wrapText="1"/>
      <protection hidden="1"/>
    </xf>
    <xf numFmtId="0" fontId="38" fillId="2" borderId="61" xfId="0" applyFont="1" applyFill="1" applyBorder="1" applyAlignment="1" applyProtection="1">
      <alignment horizontal="center" vertical="center"/>
      <protection hidden="1"/>
    </xf>
    <xf numFmtId="1" fontId="38" fillId="2" borderId="0" xfId="0" applyNumberFormat="1" applyFont="1" applyFill="1" applyAlignment="1" applyProtection="1">
      <alignment horizontal="center" vertical="center" wrapText="1"/>
      <protection hidden="1"/>
    </xf>
    <xf numFmtId="0" fontId="54" fillId="2" borderId="0" xfId="0" applyFont="1" applyFill="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37" fillId="2" borderId="0" xfId="0" applyFont="1" applyFill="1" applyAlignment="1" applyProtection="1">
      <alignment horizontal="left" vertical="top" wrapText="1"/>
      <protection hidden="1"/>
    </xf>
    <xf numFmtId="0" fontId="45" fillId="2" borderId="0" xfId="0" applyFont="1" applyFill="1" applyAlignment="1" applyProtection="1">
      <alignment horizontal="center" vertical="center" wrapText="1"/>
      <protection hidden="1"/>
    </xf>
    <xf numFmtId="0" fontId="0" fillId="2" borderId="0" xfId="0" applyFill="1" applyProtection="1">
      <protection hidden="1"/>
    </xf>
    <xf numFmtId="0" fontId="0" fillId="2" borderId="63" xfId="0" applyFill="1" applyBorder="1" applyProtection="1">
      <protection hidden="1"/>
    </xf>
    <xf numFmtId="0" fontId="39" fillId="2" borderId="0" xfId="0" applyFont="1" applyFill="1" applyProtection="1">
      <protection hidden="1"/>
    </xf>
    <xf numFmtId="2" fontId="38" fillId="0" borderId="61" xfId="0" applyNumberFormat="1" applyFont="1" applyBorder="1" applyAlignment="1" applyProtection="1">
      <alignment horizontal="center" vertical="center"/>
      <protection hidden="1"/>
    </xf>
    <xf numFmtId="0" fontId="41" fillId="2" borderId="0" xfId="0" applyFont="1" applyFill="1" applyAlignment="1" applyProtection="1">
      <alignment horizontal="center" vertical="center" wrapText="1"/>
      <protection hidden="1"/>
    </xf>
    <xf numFmtId="9" fontId="56" fillId="2" borderId="0" xfId="3" applyFont="1" applyFill="1" applyBorder="1" applyAlignment="1" applyProtection="1">
      <alignment horizontal="center" vertical="center"/>
      <protection locked="0"/>
    </xf>
    <xf numFmtId="0" fontId="32" fillId="2" borderId="64" xfId="0" applyFont="1" applyFill="1" applyBorder="1" applyAlignment="1" applyProtection="1">
      <alignment vertical="center" wrapText="1"/>
      <protection hidden="1"/>
    </xf>
    <xf numFmtId="0" fontId="28" fillId="2" borderId="52" xfId="0" applyFont="1" applyFill="1" applyBorder="1" applyAlignment="1">
      <alignment vertical="center"/>
    </xf>
    <xf numFmtId="0" fontId="57" fillId="2" borderId="0" xfId="0" applyFont="1" applyFill="1" applyAlignment="1" applyProtection="1">
      <alignment vertical="center" wrapText="1"/>
      <protection hidden="1"/>
    </xf>
    <xf numFmtId="9" fontId="33" fillId="2" borderId="0" xfId="3" applyFont="1" applyFill="1" applyBorder="1" applyAlignment="1" applyProtection="1">
      <alignment vertical="center" wrapText="1"/>
      <protection hidden="1"/>
    </xf>
    <xf numFmtId="0" fontId="0" fillId="5" borderId="0" xfId="0" applyFill="1" applyAlignment="1" applyProtection="1">
      <alignment vertical="top"/>
      <protection hidden="1"/>
    </xf>
    <xf numFmtId="0" fontId="0" fillId="5" borderId="0" xfId="0" applyFill="1" applyAlignment="1" applyProtection="1">
      <alignment vertical="top" wrapText="1"/>
      <protection hidden="1"/>
    </xf>
    <xf numFmtId="0" fontId="0" fillId="5" borderId="0" xfId="0" applyFill="1" applyAlignment="1" applyProtection="1">
      <alignment horizontal="left" vertical="top"/>
      <protection hidden="1"/>
    </xf>
    <xf numFmtId="0" fontId="34" fillId="5" borderId="0" xfId="0" applyFont="1" applyFill="1" applyAlignment="1" applyProtection="1">
      <alignment vertical="top"/>
      <protection hidden="1"/>
    </xf>
    <xf numFmtId="0" fontId="58" fillId="5" borderId="0" xfId="0" applyFont="1" applyFill="1" applyAlignment="1" applyProtection="1">
      <alignment vertical="center"/>
      <protection hidden="1"/>
    </xf>
    <xf numFmtId="0" fontId="34" fillId="5" borderId="0" xfId="0" applyFont="1" applyFill="1" applyAlignment="1" applyProtection="1">
      <alignment vertical="center"/>
      <protection hidden="1"/>
    </xf>
    <xf numFmtId="0" fontId="59" fillId="5" borderId="0" xfId="0" applyFont="1" applyFill="1" applyAlignment="1" applyProtection="1">
      <alignment vertical="center"/>
      <protection hidden="1"/>
    </xf>
    <xf numFmtId="0" fontId="38" fillId="5" borderId="0" xfId="0" applyFont="1" applyFill="1" applyAlignment="1" applyProtection="1">
      <alignment vertical="center"/>
      <protection hidden="1"/>
    </xf>
    <xf numFmtId="0" fontId="38" fillId="5" borderId="0" xfId="0" applyFont="1" applyFill="1" applyAlignment="1" applyProtection="1">
      <alignment horizontal="right" vertical="center" indent="1"/>
      <protection hidden="1"/>
    </xf>
    <xf numFmtId="0" fontId="40" fillId="5" borderId="0" xfId="1" quotePrefix="1" applyFont="1" applyFill="1" applyBorder="1" applyAlignment="1" applyProtection="1">
      <alignment vertical="center"/>
      <protection hidden="1"/>
    </xf>
    <xf numFmtId="0" fontId="0" fillId="5" borderId="0" xfId="0" applyFill="1" applyAlignment="1" applyProtection="1">
      <alignment vertical="center"/>
      <protection hidden="1"/>
    </xf>
    <xf numFmtId="0" fontId="0" fillId="5" borderId="0" xfId="0" applyFill="1" applyAlignment="1" applyProtection="1">
      <alignment horizontal="right" vertical="top" wrapText="1" indent="1"/>
      <protection hidden="1"/>
    </xf>
    <xf numFmtId="0" fontId="0" fillId="5" borderId="0" xfId="0" applyFill="1" applyAlignment="1" applyProtection="1">
      <alignment horizontal="left" vertical="top" wrapText="1"/>
      <protection hidden="1"/>
    </xf>
    <xf numFmtId="0" fontId="45" fillId="2" borderId="0" xfId="0" applyFont="1" applyFill="1" applyAlignment="1" applyProtection="1">
      <alignment vertical="center" wrapText="1"/>
      <protection hidden="1"/>
    </xf>
    <xf numFmtId="0" fontId="0" fillId="2" borderId="66" xfId="0" applyFill="1" applyBorder="1" applyProtection="1">
      <protection hidden="1"/>
    </xf>
    <xf numFmtId="0" fontId="0" fillId="2" borderId="64" xfId="0" applyFill="1" applyBorder="1" applyProtection="1">
      <protection hidden="1"/>
    </xf>
    <xf numFmtId="169" fontId="60" fillId="5" borderId="45" xfId="4" applyNumberFormat="1" applyFont="1" applyFill="1" applyBorder="1" applyAlignment="1" applyProtection="1">
      <alignment horizontal="center" vertical="center"/>
      <protection hidden="1"/>
    </xf>
    <xf numFmtId="10" fontId="27" fillId="2" borderId="0" xfId="3" applyNumberFormat="1" applyFont="1" applyFill="1" applyProtection="1">
      <protection hidden="1"/>
    </xf>
    <xf numFmtId="0" fontId="0" fillId="2" borderId="67" xfId="0" applyFill="1" applyBorder="1" applyProtection="1">
      <protection hidden="1"/>
    </xf>
    <xf numFmtId="0" fontId="0" fillId="2" borderId="55" xfId="0" applyFill="1" applyBorder="1" applyProtection="1">
      <protection hidden="1"/>
    </xf>
    <xf numFmtId="169" fontId="45" fillId="5" borderId="45" xfId="4" applyNumberFormat="1" applyFont="1" applyFill="1" applyBorder="1" applyAlignment="1" applyProtection="1">
      <alignment horizontal="center" vertical="center"/>
      <protection hidden="1"/>
    </xf>
    <xf numFmtId="166" fontId="27" fillId="2" borderId="0" xfId="3" applyNumberFormat="1" applyFont="1" applyFill="1" applyProtection="1">
      <protection hidden="1"/>
    </xf>
    <xf numFmtId="0" fontId="28" fillId="2" borderId="0" xfId="0" applyFont="1" applyFill="1" applyProtection="1">
      <protection hidden="1"/>
    </xf>
    <xf numFmtId="0" fontId="31" fillId="6" borderId="68" xfId="0" applyFont="1" applyFill="1" applyBorder="1" applyAlignment="1" applyProtection="1">
      <alignment horizontal="left" vertical="center"/>
      <protection locked="0"/>
    </xf>
    <xf numFmtId="0" fontId="32" fillId="2" borderId="0" xfId="0" applyFont="1" applyFill="1" applyProtection="1">
      <protection hidden="1"/>
    </xf>
    <xf numFmtId="0" fontId="28" fillId="2" borderId="0" xfId="0" applyFont="1" applyFill="1" applyAlignment="1" applyProtection="1">
      <alignment vertical="center"/>
      <protection hidden="1"/>
    </xf>
    <xf numFmtId="1" fontId="28" fillId="2" borderId="0" xfId="0" applyNumberFormat="1" applyFont="1" applyFill="1" applyAlignment="1" applyProtection="1">
      <alignment vertical="center" wrapText="1"/>
      <protection hidden="1"/>
    </xf>
    <xf numFmtId="0" fontId="31" fillId="2" borderId="0" xfId="0" applyFont="1" applyFill="1" applyAlignment="1" applyProtection="1">
      <alignment vertical="center" wrapText="1"/>
      <protection hidden="1"/>
    </xf>
    <xf numFmtId="0" fontId="28" fillId="2" borderId="66" xfId="0" applyFont="1" applyFill="1" applyBorder="1" applyProtection="1">
      <protection hidden="1"/>
    </xf>
    <xf numFmtId="0" fontId="28" fillId="2" borderId="69" xfId="0" applyFont="1" applyFill="1" applyBorder="1" applyAlignment="1" applyProtection="1">
      <alignment vertical="top"/>
      <protection hidden="1"/>
    </xf>
    <xf numFmtId="0" fontId="28" fillId="2" borderId="70" xfId="0" applyFont="1" applyFill="1" applyBorder="1" applyAlignment="1" applyProtection="1">
      <alignment vertical="top"/>
      <protection hidden="1"/>
    </xf>
    <xf numFmtId="0" fontId="28" fillId="2" borderId="71" xfId="0" applyFont="1" applyFill="1" applyBorder="1" applyAlignment="1" applyProtection="1">
      <alignment vertical="top"/>
      <protection hidden="1"/>
    </xf>
    <xf numFmtId="0" fontId="28" fillId="2" borderId="0" xfId="0" applyFont="1" applyFill="1" applyAlignment="1" applyProtection="1">
      <alignment horizontal="center" vertical="center"/>
      <protection hidden="1"/>
    </xf>
    <xf numFmtId="0" fontId="28" fillId="2" borderId="0" xfId="0" applyFont="1" applyFill="1" applyAlignment="1" applyProtection="1">
      <alignment horizontal="left" vertical="top" wrapText="1"/>
      <protection hidden="1"/>
    </xf>
    <xf numFmtId="166" fontId="28" fillId="2" borderId="0" xfId="0" applyNumberFormat="1" applyFont="1" applyFill="1" applyAlignment="1" applyProtection="1">
      <alignment vertical="center" wrapText="1"/>
      <protection hidden="1"/>
    </xf>
    <xf numFmtId="0" fontId="28" fillId="2" borderId="0" xfId="0" applyFont="1" applyFill="1" applyAlignment="1" applyProtection="1">
      <alignment horizontal="left" vertical="top"/>
      <protection hidden="1"/>
    </xf>
    <xf numFmtId="0" fontId="28" fillId="2" borderId="0" xfId="0" applyFont="1" applyFill="1" applyAlignment="1" applyProtection="1">
      <alignment horizontal="right" vertical="top" wrapText="1" indent="1"/>
      <protection hidden="1"/>
    </xf>
    <xf numFmtId="0" fontId="31" fillId="2" borderId="0" xfId="0" applyFont="1" applyFill="1" applyAlignment="1" applyProtection="1">
      <alignment horizontal="left" vertical="top" wrapText="1"/>
      <protection hidden="1"/>
    </xf>
    <xf numFmtId="0" fontId="32" fillId="2" borderId="0" xfId="0" applyFont="1" applyFill="1" applyAlignment="1" applyProtection="1">
      <alignment horizontal="left" vertical="top" wrapText="1"/>
      <protection hidden="1"/>
    </xf>
    <xf numFmtId="0" fontId="28" fillId="2" borderId="0" xfId="0" applyFont="1" applyFill="1"/>
    <xf numFmtId="0" fontId="32" fillId="2" borderId="0" xfId="0" applyFont="1" applyFill="1"/>
    <xf numFmtId="20" fontId="0" fillId="0" borderId="0" xfId="0" applyNumberFormat="1"/>
    <xf numFmtId="0" fontId="0" fillId="7" borderId="16" xfId="0" applyFill="1" applyBorder="1"/>
    <xf numFmtId="20" fontId="0" fillId="7" borderId="16" xfId="0" applyNumberFormat="1" applyFill="1" applyBorder="1"/>
    <xf numFmtId="0" fontId="0" fillId="3" borderId="16" xfId="0" applyFill="1" applyBorder="1"/>
    <xf numFmtId="20" fontId="0" fillId="3" borderId="16" xfId="0" applyNumberFormat="1" applyFill="1" applyBorder="1"/>
    <xf numFmtId="0" fontId="0" fillId="8" borderId="16" xfId="0" applyFill="1" applyBorder="1"/>
    <xf numFmtId="0" fontId="0" fillId="9" borderId="16" xfId="0" applyFill="1" applyBorder="1"/>
    <xf numFmtId="0" fontId="0" fillId="0" borderId="0" xfId="0" applyAlignment="1">
      <alignment vertical="center"/>
    </xf>
    <xf numFmtId="0" fontId="0" fillId="0" borderId="0" xfId="0" applyAlignment="1">
      <alignment wrapText="1"/>
    </xf>
    <xf numFmtId="0" fontId="0" fillId="0" borderId="17" xfId="0" applyBorder="1" applyAlignment="1">
      <alignment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20" fontId="0" fillId="0" borderId="22" xfId="0" applyNumberFormat="1" applyBorder="1"/>
    <xf numFmtId="20" fontId="0" fillId="0" borderId="23" xfId="0" applyNumberFormat="1" applyBorder="1"/>
    <xf numFmtId="20" fontId="0" fillId="0" borderId="24" xfId="0" applyNumberFormat="1" applyBorder="1"/>
    <xf numFmtId="0" fontId="0" fillId="0" borderId="23" xfId="0" applyBorder="1"/>
    <xf numFmtId="0" fontId="0" fillId="0" borderId="18" xfId="0" applyBorder="1" applyAlignment="1">
      <alignment vertical="center"/>
    </xf>
    <xf numFmtId="0" fontId="0" fillId="0" borderId="25" xfId="0" applyBorder="1"/>
    <xf numFmtId="0" fontId="0" fillId="10" borderId="0" xfId="0" applyFill="1"/>
    <xf numFmtId="0" fontId="0" fillId="10" borderId="17" xfId="0" applyFill="1" applyBorder="1"/>
    <xf numFmtId="0" fontId="0" fillId="10" borderId="17" xfId="0" applyFill="1" applyBorder="1" applyAlignment="1">
      <alignment vertical="center"/>
    </xf>
    <xf numFmtId="0" fontId="0" fillId="10" borderId="18" xfId="0" applyFill="1" applyBorder="1"/>
    <xf numFmtId="0" fontId="0" fillId="10" borderId="7" xfId="0" applyFill="1" applyBorder="1" applyAlignment="1">
      <alignment vertical="center"/>
    </xf>
    <xf numFmtId="0" fontId="0" fillId="10" borderId="8" xfId="0" applyFill="1" applyBorder="1" applyAlignment="1">
      <alignment wrapText="1"/>
    </xf>
    <xf numFmtId="0" fontId="0" fillId="10" borderId="0" xfId="0" applyFill="1" applyAlignment="1">
      <alignment wrapText="1"/>
    </xf>
    <xf numFmtId="0" fontId="0" fillId="10" borderId="26" xfId="0" applyFill="1" applyBorder="1" applyAlignment="1">
      <alignment wrapText="1"/>
    </xf>
    <xf numFmtId="0" fontId="0" fillId="10" borderId="17" xfId="0" applyFill="1" applyBorder="1" applyAlignment="1">
      <alignment wrapText="1"/>
    </xf>
    <xf numFmtId="0" fontId="0" fillId="10" borderId="27" xfId="0" applyFill="1" applyBorder="1" applyAlignment="1">
      <alignment wrapText="1"/>
    </xf>
    <xf numFmtId="0" fontId="0" fillId="10" borderId="25" xfId="0" applyFill="1" applyBorder="1" applyAlignment="1">
      <alignment wrapText="1"/>
    </xf>
    <xf numFmtId="0" fontId="0" fillId="10" borderId="25" xfId="0" applyFill="1" applyBorder="1"/>
    <xf numFmtId="0" fontId="0" fillId="10" borderId="8" xfId="0" applyFill="1" applyBorder="1" applyAlignment="1">
      <alignment vertical="center"/>
    </xf>
    <xf numFmtId="0" fontId="0" fillId="10" borderId="0" xfId="0" applyFill="1" applyAlignment="1">
      <alignment vertical="center"/>
    </xf>
    <xf numFmtId="0" fontId="0" fillId="10" borderId="28" xfId="0" applyFill="1" applyBorder="1"/>
    <xf numFmtId="0" fontId="0" fillId="10" borderId="18" xfId="0" applyFill="1" applyBorder="1" applyAlignment="1">
      <alignment vertical="center"/>
    </xf>
    <xf numFmtId="0" fontId="0" fillId="10" borderId="7" xfId="0" applyFill="1" applyBorder="1"/>
    <xf numFmtId="0" fontId="0" fillId="0" borderId="17" xfId="0" applyBorder="1" applyAlignment="1">
      <alignment vertical="center"/>
    </xf>
    <xf numFmtId="0" fontId="38" fillId="2" borderId="0" xfId="0" applyFont="1" applyFill="1" applyProtection="1">
      <protection hidden="1"/>
    </xf>
    <xf numFmtId="0" fontId="41" fillId="2" borderId="0" xfId="0" applyFont="1" applyFill="1" applyProtection="1">
      <protection hidden="1"/>
    </xf>
    <xf numFmtId="0" fontId="41" fillId="2" borderId="0" xfId="0" applyFont="1" applyFill="1" applyAlignment="1" applyProtection="1">
      <alignment horizontal="center" vertical="center"/>
      <protection hidden="1"/>
    </xf>
    <xf numFmtId="166" fontId="38" fillId="2" borderId="72" xfId="3" applyNumberFormat="1" applyFont="1" applyFill="1" applyBorder="1" applyAlignment="1" applyProtection="1">
      <alignment horizontal="right" vertical="center" indent="1"/>
      <protection hidden="1"/>
    </xf>
    <xf numFmtId="9" fontId="38" fillId="2" borderId="45" xfId="0" applyNumberFormat="1" applyFont="1" applyFill="1" applyBorder="1" applyAlignment="1" applyProtection="1">
      <alignment horizontal="center" vertical="center"/>
      <protection hidden="1"/>
    </xf>
    <xf numFmtId="0" fontId="41" fillId="2" borderId="0" xfId="0" applyFont="1" applyFill="1" applyAlignment="1" applyProtection="1">
      <alignment horizontal="left" vertical="center" indent="1"/>
      <protection hidden="1"/>
    </xf>
    <xf numFmtId="0" fontId="41" fillId="2" borderId="73" xfId="0" applyFont="1" applyFill="1" applyBorder="1" applyAlignment="1" applyProtection="1">
      <alignment horizontal="center" vertical="center"/>
      <protection hidden="1"/>
    </xf>
    <xf numFmtId="0" fontId="54" fillId="2" borderId="0" xfId="0" applyFont="1" applyFill="1" applyAlignment="1" applyProtection="1">
      <alignment vertical="top"/>
      <protection hidden="1"/>
    </xf>
    <xf numFmtId="0" fontId="54" fillId="2" borderId="0" xfId="0" applyFont="1" applyFill="1" applyAlignment="1" applyProtection="1">
      <alignment vertical="center"/>
      <protection hidden="1"/>
    </xf>
    <xf numFmtId="0" fontId="38" fillId="2" borderId="73" xfId="0" applyFont="1" applyFill="1" applyBorder="1" applyAlignment="1" applyProtection="1">
      <alignment horizontal="center" vertical="center"/>
      <protection hidden="1"/>
    </xf>
    <xf numFmtId="0" fontId="38" fillId="2" borderId="72" xfId="0" applyFont="1" applyFill="1" applyBorder="1" applyAlignment="1" applyProtection="1">
      <alignment horizontal="center" vertical="center" wrapText="1"/>
      <protection hidden="1"/>
    </xf>
    <xf numFmtId="0" fontId="38" fillId="2" borderId="72" xfId="0" applyFont="1" applyFill="1" applyBorder="1" applyAlignment="1" applyProtection="1">
      <alignment horizontal="left" vertical="center" wrapText="1" indent="1"/>
      <protection hidden="1"/>
    </xf>
    <xf numFmtId="0" fontId="54" fillId="2" borderId="74" xfId="0" applyFont="1" applyFill="1" applyBorder="1" applyAlignment="1" applyProtection="1">
      <alignment horizontal="center" vertical="center" wrapText="1"/>
      <protection hidden="1"/>
    </xf>
    <xf numFmtId="0" fontId="38" fillId="2" borderId="0" xfId="0" quotePrefix="1" applyFont="1" applyFill="1" applyAlignment="1" applyProtection="1">
      <alignment horizontal="center" vertical="center" wrapText="1"/>
      <protection hidden="1"/>
    </xf>
    <xf numFmtId="166" fontId="38" fillId="2" borderId="0" xfId="0" quotePrefix="1" applyNumberFormat="1" applyFont="1" applyFill="1" applyAlignment="1" applyProtection="1">
      <alignment horizontal="center" vertical="center"/>
      <protection hidden="1"/>
    </xf>
    <xf numFmtId="0" fontId="38" fillId="2" borderId="0" xfId="0" quotePrefix="1" applyFont="1" applyFill="1" applyAlignment="1" applyProtection="1">
      <alignment horizontal="left" vertical="center" wrapText="1"/>
      <protection hidden="1"/>
    </xf>
    <xf numFmtId="166" fontId="45" fillId="2" borderId="0" xfId="0" applyNumberFormat="1" applyFont="1" applyFill="1" applyAlignment="1" applyProtection="1">
      <alignment horizontal="center" vertical="center" wrapText="1"/>
      <protection hidden="1"/>
    </xf>
    <xf numFmtId="0" fontId="45" fillId="11" borderId="0" xfId="0" applyFont="1" applyFill="1" applyAlignment="1" applyProtection="1">
      <alignment wrapText="1"/>
      <protection hidden="1"/>
    </xf>
    <xf numFmtId="9" fontId="38" fillId="2" borderId="75" xfId="0" applyNumberFormat="1" applyFont="1" applyFill="1" applyBorder="1" applyAlignment="1" applyProtection="1">
      <alignment vertical="center"/>
      <protection hidden="1"/>
    </xf>
    <xf numFmtId="3" fontId="38" fillId="2" borderId="72" xfId="0" applyNumberFormat="1" applyFont="1" applyFill="1" applyBorder="1" applyAlignment="1" applyProtection="1">
      <alignment horizontal="right" vertical="center" indent="1"/>
      <protection hidden="1"/>
    </xf>
    <xf numFmtId="0" fontId="29" fillId="2" borderId="0" xfId="0" applyFont="1" applyFill="1" applyAlignment="1" applyProtection="1">
      <alignment vertical="top"/>
      <protection hidden="1"/>
    </xf>
    <xf numFmtId="0" fontId="28" fillId="24" borderId="65" xfId="0" applyFont="1" applyFill="1" applyBorder="1"/>
    <xf numFmtId="0" fontId="0" fillId="24" borderId="65" xfId="0" applyFill="1" applyBorder="1"/>
    <xf numFmtId="0" fontId="0" fillId="24" borderId="59" xfId="0" applyFill="1" applyBorder="1" applyAlignment="1" applyProtection="1">
      <alignment vertical="top"/>
      <protection hidden="1"/>
    </xf>
    <xf numFmtId="0" fontId="0" fillId="24" borderId="59" xfId="0" applyFill="1" applyBorder="1" applyAlignment="1" applyProtection="1">
      <alignment horizontal="center" vertical="top"/>
      <protection hidden="1"/>
    </xf>
    <xf numFmtId="0" fontId="0" fillId="24" borderId="60" xfId="0" applyFill="1" applyBorder="1" applyAlignment="1" applyProtection="1">
      <alignment vertical="top"/>
      <protection hidden="1"/>
    </xf>
    <xf numFmtId="0" fontId="0" fillId="24" borderId="0" xfId="0" applyFill="1" applyAlignment="1" applyProtection="1">
      <alignment vertical="top"/>
      <protection hidden="1"/>
    </xf>
    <xf numFmtId="3" fontId="45" fillId="23" borderId="72" xfId="0" applyNumberFormat="1" applyFont="1" applyFill="1" applyBorder="1" applyAlignment="1" applyProtection="1">
      <alignment horizontal="right" vertical="center" indent="1"/>
      <protection locked="0"/>
    </xf>
    <xf numFmtId="166" fontId="45" fillId="23" borderId="72" xfId="3" applyNumberFormat="1" applyFont="1" applyFill="1" applyBorder="1" applyAlignment="1" applyProtection="1">
      <alignment horizontal="right" vertical="center" indent="1"/>
      <protection locked="0"/>
    </xf>
    <xf numFmtId="0" fontId="45" fillId="6" borderId="230" xfId="0" applyFont="1" applyFill="1" applyBorder="1" applyAlignment="1" applyProtection="1">
      <alignment horizontal="center" vertical="center" wrapText="1"/>
      <protection locked="0"/>
    </xf>
    <xf numFmtId="0" fontId="0" fillId="2" borderId="94" xfId="0" applyFill="1" applyBorder="1" applyAlignment="1" applyProtection="1">
      <alignment vertical="top"/>
      <protection hidden="1"/>
    </xf>
    <xf numFmtId="0" fontId="0" fillId="24" borderId="65" xfId="0" applyFill="1" applyBorder="1" applyAlignment="1">
      <alignment horizontal="center"/>
    </xf>
    <xf numFmtId="0" fontId="30" fillId="2" borderId="53" xfId="1" applyFill="1" applyBorder="1" applyAlignment="1" applyProtection="1">
      <alignment horizontal="left" vertical="center"/>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vertical="top"/>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horizontal="left" vertical="top"/>
      <protection hidden="1"/>
    </xf>
    <xf numFmtId="0" fontId="4" fillId="2" borderId="0" xfId="0" quotePrefix="1" applyFont="1" applyFill="1" applyAlignment="1" applyProtection="1">
      <alignment horizontal="left" vertical="top"/>
      <protection hidden="1"/>
    </xf>
    <xf numFmtId="0" fontId="34" fillId="2" borderId="0" xfId="0" applyFont="1" applyFill="1" applyAlignment="1" applyProtection="1">
      <alignment horizontal="left" vertical="top"/>
      <protection hidden="1"/>
    </xf>
    <xf numFmtId="0" fontId="38" fillId="2" borderId="46" xfId="0" applyFont="1" applyFill="1" applyBorder="1" applyAlignment="1" applyProtection="1">
      <alignment horizontal="left" vertical="center"/>
      <protection hidden="1"/>
    </xf>
    <xf numFmtId="0" fontId="38" fillId="2" borderId="51" xfId="0" applyFont="1" applyFill="1" applyBorder="1" applyAlignment="1" applyProtection="1">
      <alignment horizontal="left" vertical="center"/>
      <protection hidden="1"/>
    </xf>
    <xf numFmtId="0" fontId="0" fillId="5" borderId="0" xfId="0" applyFill="1" applyAlignment="1" applyProtection="1">
      <alignment horizontal="right" vertical="top" wrapText="1" indent="1"/>
      <protection hidden="1"/>
    </xf>
    <xf numFmtId="1" fontId="45" fillId="5" borderId="45" xfId="3" applyNumberFormat="1" applyFont="1" applyFill="1" applyBorder="1" applyAlignment="1" applyProtection="1">
      <alignment horizontal="center" vertical="center"/>
      <protection locked="0"/>
    </xf>
    <xf numFmtId="1" fontId="45" fillId="5" borderId="77" xfId="3" applyNumberFormat="1" applyFont="1" applyFill="1" applyBorder="1" applyAlignment="1" applyProtection="1">
      <alignment horizontal="center" vertical="center"/>
      <protection locked="0"/>
    </xf>
    <xf numFmtId="0" fontId="38" fillId="5" borderId="89" xfId="0" applyFont="1" applyFill="1" applyBorder="1" applyAlignment="1" applyProtection="1">
      <alignment horizontal="center" vertical="center" wrapText="1"/>
      <protection hidden="1"/>
    </xf>
    <xf numFmtId="0" fontId="38" fillId="5" borderId="90" xfId="0" applyFont="1" applyFill="1" applyBorder="1" applyAlignment="1" applyProtection="1">
      <alignment horizontal="center" vertical="center" wrapText="1"/>
      <protection hidden="1"/>
    </xf>
    <xf numFmtId="0" fontId="38" fillId="5" borderId="91" xfId="0" applyFont="1" applyFill="1" applyBorder="1" applyAlignment="1" applyProtection="1">
      <alignment horizontal="center" vertical="center" wrapText="1"/>
      <protection hidden="1"/>
    </xf>
    <xf numFmtId="0" fontId="38" fillId="5" borderId="75" xfId="0" applyFont="1" applyFill="1" applyBorder="1" applyAlignment="1" applyProtection="1">
      <alignment horizontal="center" vertical="center" wrapText="1"/>
      <protection hidden="1"/>
    </xf>
    <xf numFmtId="0" fontId="38" fillId="5" borderId="92" xfId="0" applyFont="1" applyFill="1" applyBorder="1" applyAlignment="1" applyProtection="1">
      <alignment horizontal="center" vertical="center" wrapText="1"/>
      <protection hidden="1"/>
    </xf>
    <xf numFmtId="0" fontId="38" fillId="5" borderId="93" xfId="0" applyFont="1" applyFill="1" applyBorder="1" applyAlignment="1" applyProtection="1">
      <alignment horizontal="center" vertical="center" wrapText="1"/>
      <protection hidden="1"/>
    </xf>
    <xf numFmtId="0" fontId="38" fillId="5" borderId="45" xfId="0" applyFont="1" applyFill="1" applyBorder="1" applyAlignment="1" applyProtection="1">
      <alignment horizontal="center" vertical="center" wrapText="1"/>
      <protection hidden="1"/>
    </xf>
    <xf numFmtId="0" fontId="38" fillId="5" borderId="77" xfId="0" applyFont="1" applyFill="1" applyBorder="1" applyAlignment="1" applyProtection="1">
      <alignment horizontal="center" vertical="center" wrapText="1"/>
      <protection hidden="1"/>
    </xf>
    <xf numFmtId="0" fontId="38" fillId="5" borderId="85" xfId="0" applyFont="1" applyFill="1" applyBorder="1" applyAlignment="1" applyProtection="1">
      <alignment horizontal="center" vertical="center" wrapText="1"/>
      <protection hidden="1"/>
    </xf>
    <xf numFmtId="0" fontId="0" fillId="2" borderId="0" xfId="0" applyFill="1" applyAlignment="1" applyProtection="1">
      <alignment horizontal="right" vertical="top" wrapText="1" indent="1"/>
      <protection hidden="1"/>
    </xf>
    <xf numFmtId="0" fontId="38" fillId="5" borderId="45" xfId="0" applyFont="1" applyFill="1" applyBorder="1" applyAlignment="1" applyProtection="1">
      <alignment horizontal="left" vertical="center" wrapText="1"/>
      <protection hidden="1"/>
    </xf>
    <xf numFmtId="0" fontId="38" fillId="5" borderId="77" xfId="0" applyFont="1" applyFill="1" applyBorder="1" applyAlignment="1" applyProtection="1">
      <alignment horizontal="left" vertical="center" wrapText="1"/>
      <protection hidden="1"/>
    </xf>
    <xf numFmtId="0" fontId="38" fillId="5" borderId="85" xfId="0" applyFont="1" applyFill="1" applyBorder="1" applyAlignment="1" applyProtection="1">
      <alignment horizontal="left" vertical="center" wrapText="1"/>
      <protection hidden="1"/>
    </xf>
    <xf numFmtId="0" fontId="37" fillId="2" borderId="0" xfId="0" applyFont="1" applyFill="1" applyAlignment="1" applyProtection="1">
      <alignment horizontal="left" vertical="top" wrapText="1"/>
      <protection hidden="1"/>
    </xf>
    <xf numFmtId="0" fontId="36" fillId="2" borderId="0" xfId="0" applyFont="1" applyFill="1" applyAlignment="1" applyProtection="1">
      <alignment horizontal="left" vertical="top"/>
      <protection hidden="1"/>
    </xf>
    <xf numFmtId="0" fontId="38" fillId="5" borderId="77" xfId="0" applyFont="1" applyFill="1" applyBorder="1" applyAlignment="1" applyProtection="1">
      <alignment horizontal="left" vertical="center" wrapText="1" indent="1"/>
      <protection hidden="1"/>
    </xf>
    <xf numFmtId="0" fontId="38" fillId="5" borderId="85" xfId="0" applyFont="1" applyFill="1" applyBorder="1" applyAlignment="1" applyProtection="1">
      <alignment horizontal="left" vertical="center" wrapText="1" indent="1"/>
      <protection hidden="1"/>
    </xf>
    <xf numFmtId="0" fontId="0" fillId="5" borderId="0" xfId="0" applyFill="1" applyAlignment="1" applyProtection="1">
      <alignment horizontal="left" vertical="top" wrapText="1"/>
      <protection hidden="1"/>
    </xf>
    <xf numFmtId="0" fontId="38" fillId="5" borderId="72" xfId="0" applyFont="1" applyFill="1" applyBorder="1" applyAlignment="1" applyProtection="1">
      <alignment horizontal="center" vertical="center" wrapText="1"/>
      <protection hidden="1"/>
    </xf>
    <xf numFmtId="0" fontId="0" fillId="5" borderId="0" xfId="0" applyFill="1" applyAlignment="1" applyProtection="1">
      <alignment horizontal="left" vertical="top"/>
      <protection hidden="1"/>
    </xf>
    <xf numFmtId="0" fontId="38" fillId="5" borderId="46" xfId="0" applyFont="1" applyFill="1" applyBorder="1" applyAlignment="1" applyProtection="1">
      <alignment horizontal="left" vertical="center"/>
      <protection hidden="1"/>
    </xf>
    <xf numFmtId="0" fontId="38" fillId="5" borderId="51" xfId="0" applyFont="1" applyFill="1" applyBorder="1" applyAlignment="1" applyProtection="1">
      <alignment horizontal="left" vertical="center"/>
      <protection hidden="1"/>
    </xf>
    <xf numFmtId="0" fontId="38" fillId="5" borderId="45" xfId="0" applyFont="1" applyFill="1" applyBorder="1" applyAlignment="1" applyProtection="1">
      <alignment vertical="center" wrapText="1"/>
      <protection hidden="1"/>
    </xf>
    <xf numFmtId="0" fontId="38" fillId="5" borderId="77" xfId="0" applyFont="1" applyFill="1" applyBorder="1" applyAlignment="1" applyProtection="1">
      <alignment vertical="center" wrapText="1"/>
      <protection hidden="1"/>
    </xf>
    <xf numFmtId="0" fontId="38" fillId="5" borderId="85" xfId="0" applyFont="1" applyFill="1" applyBorder="1" applyAlignment="1" applyProtection="1">
      <alignment vertical="center" wrapText="1"/>
      <protection hidden="1"/>
    </xf>
    <xf numFmtId="0" fontId="61" fillId="2" borderId="0" xfId="0" applyFont="1" applyFill="1" applyAlignment="1" applyProtection="1">
      <alignment horizontal="center" vertical="top"/>
      <protection hidden="1"/>
    </xf>
    <xf numFmtId="0" fontId="35" fillId="2" borderId="0" xfId="0" applyFont="1" applyFill="1" applyAlignment="1" applyProtection="1">
      <alignment horizontal="left" vertical="center"/>
      <protection hidden="1"/>
    </xf>
    <xf numFmtId="0" fontId="39" fillId="2" borderId="0" xfId="0" applyFont="1" applyFill="1" applyAlignment="1" applyProtection="1">
      <alignment horizontal="left" vertical="top"/>
      <protection hidden="1"/>
    </xf>
    <xf numFmtId="0" fontId="30" fillId="5" borderId="53" xfId="1" applyFill="1" applyBorder="1" applyAlignment="1" applyProtection="1">
      <alignment horizontal="left" vertical="center"/>
      <protection hidden="1"/>
    </xf>
    <xf numFmtId="0" fontId="32" fillId="2" borderId="72" xfId="0" applyFont="1" applyFill="1" applyBorder="1" applyAlignment="1" applyProtection="1">
      <alignment horizontal="center" vertical="top"/>
      <protection hidden="1"/>
    </xf>
    <xf numFmtId="167" fontId="33" fillId="2" borderId="45" xfId="3" applyNumberFormat="1" applyFont="1" applyFill="1" applyBorder="1" applyAlignment="1" applyProtection="1">
      <alignment horizontal="center" vertical="center"/>
      <protection hidden="1"/>
    </xf>
    <xf numFmtId="167" fontId="33" fillId="2" borderId="77" xfId="3" applyNumberFormat="1" applyFont="1" applyFill="1" applyBorder="1" applyAlignment="1" applyProtection="1">
      <alignment horizontal="center" vertical="center"/>
      <protection hidden="1"/>
    </xf>
    <xf numFmtId="0" fontId="38" fillId="2" borderId="77" xfId="0" applyFont="1" applyFill="1" applyBorder="1" applyAlignment="1" applyProtection="1">
      <alignment horizontal="left" vertical="center" wrapText="1" indent="1"/>
      <protection hidden="1"/>
    </xf>
    <xf numFmtId="0" fontId="38" fillId="2" borderId="85" xfId="0" applyFont="1" applyFill="1" applyBorder="1" applyAlignment="1" applyProtection="1">
      <alignment horizontal="left" vertical="center" wrapText="1" indent="1"/>
      <protection hidden="1"/>
    </xf>
    <xf numFmtId="0" fontId="43" fillId="2" borderId="72" xfId="0" applyFont="1" applyFill="1" applyBorder="1" applyAlignment="1" applyProtection="1">
      <alignment horizontal="center" vertical="top"/>
      <protection hidden="1"/>
    </xf>
    <xf numFmtId="0" fontId="33" fillId="2" borderId="77" xfId="0" applyFont="1" applyFill="1" applyBorder="1" applyAlignment="1" applyProtection="1">
      <alignment horizontal="left" vertical="center" wrapText="1" indent="1"/>
      <protection hidden="1"/>
    </xf>
    <xf numFmtId="0" fontId="33" fillId="2" borderId="85" xfId="0" applyFont="1" applyFill="1" applyBorder="1" applyAlignment="1" applyProtection="1">
      <alignment horizontal="left" vertical="center" wrapText="1" indent="1"/>
      <protection hidden="1"/>
    </xf>
    <xf numFmtId="0" fontId="38" fillId="5" borderId="0" xfId="0" applyFont="1" applyFill="1" applyAlignment="1" applyProtection="1">
      <alignment horizontal="left" wrapText="1"/>
      <protection hidden="1"/>
    </xf>
    <xf numFmtId="0" fontId="63" fillId="5" borderId="89" xfId="0" applyFont="1" applyFill="1" applyBorder="1" applyAlignment="1" applyProtection="1">
      <alignment horizontal="center" vertical="center" wrapText="1"/>
      <protection hidden="1"/>
    </xf>
    <xf numFmtId="0" fontId="63" fillId="5" borderId="90" xfId="0" applyFont="1" applyFill="1" applyBorder="1" applyAlignment="1" applyProtection="1">
      <alignment horizontal="center" vertical="center" wrapText="1"/>
      <protection hidden="1"/>
    </xf>
    <xf numFmtId="0" fontId="63" fillId="5" borderId="91" xfId="0" applyFont="1" applyFill="1" applyBorder="1" applyAlignment="1" applyProtection="1">
      <alignment horizontal="center" vertical="center" wrapText="1"/>
      <protection hidden="1"/>
    </xf>
    <xf numFmtId="0" fontId="63" fillId="5" borderId="94" xfId="0" applyFont="1" applyFill="1" applyBorder="1" applyAlignment="1" applyProtection="1">
      <alignment horizontal="center" vertical="center" wrapText="1"/>
      <protection hidden="1"/>
    </xf>
    <xf numFmtId="0" fontId="63" fillId="5" borderId="0" xfId="0" applyFont="1" applyFill="1" applyAlignment="1" applyProtection="1">
      <alignment horizontal="center" vertical="center" wrapText="1"/>
      <protection hidden="1"/>
    </xf>
    <xf numFmtId="0" fontId="63" fillId="5" borderId="50" xfId="0" applyFont="1" applyFill="1" applyBorder="1" applyAlignment="1" applyProtection="1">
      <alignment horizontal="center" vertical="center" wrapText="1"/>
      <protection hidden="1"/>
    </xf>
    <xf numFmtId="0" fontId="63" fillId="5" borderId="75" xfId="0" applyFont="1" applyFill="1" applyBorder="1" applyAlignment="1" applyProtection="1">
      <alignment horizontal="center" vertical="center" wrapText="1"/>
      <protection hidden="1"/>
    </xf>
    <xf numFmtId="0" fontId="63" fillId="5" borderId="92" xfId="0" applyFont="1" applyFill="1" applyBorder="1" applyAlignment="1" applyProtection="1">
      <alignment horizontal="center" vertical="center" wrapText="1"/>
      <protection hidden="1"/>
    </xf>
    <xf numFmtId="0" fontId="63" fillId="5" borderId="93" xfId="0" applyFont="1" applyFill="1" applyBorder="1" applyAlignment="1" applyProtection="1">
      <alignment horizontal="center" vertical="center" wrapText="1"/>
      <protection hidden="1"/>
    </xf>
    <xf numFmtId="166" fontId="33" fillId="2" borderId="45" xfId="3" applyNumberFormat="1" applyFont="1" applyFill="1" applyBorder="1" applyAlignment="1" applyProtection="1">
      <alignment horizontal="center" vertical="center"/>
      <protection hidden="1"/>
    </xf>
    <xf numFmtId="166" fontId="33" fillId="2" borderId="77" xfId="3" applyNumberFormat="1" applyFont="1" applyFill="1" applyBorder="1" applyAlignment="1" applyProtection="1">
      <alignment horizontal="center" vertical="center"/>
      <protection hidden="1"/>
    </xf>
    <xf numFmtId="0" fontId="38" fillId="2" borderId="0" xfId="0" applyFont="1" applyFill="1" applyAlignment="1" applyProtection="1">
      <alignment horizontal="left" wrapText="1"/>
      <protection hidden="1"/>
    </xf>
    <xf numFmtId="0" fontId="69" fillId="2" borderId="72" xfId="0" applyFont="1" applyFill="1" applyBorder="1" applyAlignment="1" applyProtection="1">
      <alignment horizontal="center" vertical="top"/>
      <protection hidden="1"/>
    </xf>
    <xf numFmtId="167" fontId="33" fillId="2" borderId="89" xfId="3" applyNumberFormat="1" applyFont="1" applyFill="1" applyBorder="1" applyAlignment="1" applyProtection="1">
      <alignment horizontal="center" vertical="center"/>
      <protection hidden="1"/>
    </xf>
    <xf numFmtId="167" fontId="33" fillId="2" borderId="90" xfId="3" applyNumberFormat="1" applyFont="1" applyFill="1" applyBorder="1" applyAlignment="1" applyProtection="1">
      <alignment horizontal="center" vertical="center"/>
      <protection hidden="1"/>
    </xf>
    <xf numFmtId="167" fontId="33" fillId="2" borderId="75" xfId="3" applyNumberFormat="1" applyFont="1" applyFill="1" applyBorder="1" applyAlignment="1" applyProtection="1">
      <alignment horizontal="center" vertical="center"/>
      <protection hidden="1"/>
    </xf>
    <xf numFmtId="167" fontId="33" fillId="2" borderId="92" xfId="3" applyNumberFormat="1" applyFont="1" applyFill="1" applyBorder="1" applyAlignment="1" applyProtection="1">
      <alignment horizontal="center" vertical="center"/>
      <protection hidden="1"/>
    </xf>
    <xf numFmtId="0" fontId="33" fillId="2" borderId="90" xfId="0" applyFont="1" applyFill="1" applyBorder="1" applyAlignment="1" applyProtection="1">
      <alignment horizontal="left" vertical="center" wrapText="1"/>
      <protection hidden="1"/>
    </xf>
    <xf numFmtId="0" fontId="33" fillId="2" borderId="91" xfId="0" applyFont="1" applyFill="1" applyBorder="1" applyAlignment="1" applyProtection="1">
      <alignment horizontal="left" vertical="center" wrapText="1"/>
      <protection hidden="1"/>
    </xf>
    <xf numFmtId="0" fontId="33" fillId="2" borderId="92" xfId="0" applyFont="1" applyFill="1" applyBorder="1" applyAlignment="1" applyProtection="1">
      <alignment horizontal="left" vertical="center" wrapText="1"/>
      <protection hidden="1"/>
    </xf>
    <xf numFmtId="0" fontId="33" fillId="2" borderId="93" xfId="0" applyFont="1" applyFill="1" applyBorder="1" applyAlignment="1" applyProtection="1">
      <alignment horizontal="left" vertical="center" wrapText="1"/>
      <protection hidden="1"/>
    </xf>
    <xf numFmtId="0" fontId="33" fillId="2" borderId="90" xfId="0" applyFont="1" applyFill="1" applyBorder="1" applyAlignment="1" applyProtection="1">
      <alignment horizontal="center" vertical="center" wrapText="1"/>
      <protection hidden="1"/>
    </xf>
    <xf numFmtId="0" fontId="33" fillId="2" borderId="91" xfId="0" applyFont="1" applyFill="1" applyBorder="1" applyAlignment="1" applyProtection="1">
      <alignment horizontal="center" vertical="center" wrapText="1"/>
      <protection hidden="1"/>
    </xf>
    <xf numFmtId="0" fontId="33" fillId="2" borderId="92" xfId="0" applyFont="1" applyFill="1" applyBorder="1" applyAlignment="1" applyProtection="1">
      <alignment horizontal="center" vertical="center" wrapText="1"/>
      <protection hidden="1"/>
    </xf>
    <xf numFmtId="0" fontId="33" fillId="2" borderId="93" xfId="0" applyFont="1" applyFill="1" applyBorder="1" applyAlignment="1" applyProtection="1">
      <alignment horizontal="center" vertical="center" wrapText="1"/>
      <protection hidden="1"/>
    </xf>
    <xf numFmtId="0" fontId="76" fillId="2" borderId="72" xfId="1" applyFont="1" applyFill="1" applyBorder="1" applyAlignment="1" applyProtection="1">
      <alignment horizontal="center" vertical="top"/>
      <protection hidden="1"/>
    </xf>
    <xf numFmtId="167" fontId="33" fillId="2" borderId="0" xfId="3" applyNumberFormat="1" applyFont="1" applyFill="1" applyBorder="1" applyAlignment="1" applyProtection="1">
      <alignment horizontal="center" vertical="center"/>
      <protection hidden="1"/>
    </xf>
    <xf numFmtId="0" fontId="33" fillId="2" borderId="0" xfId="0" applyFont="1" applyFill="1" applyAlignment="1" applyProtection="1">
      <alignment horizontal="left" vertical="center" wrapText="1" indent="1"/>
      <protection hidden="1"/>
    </xf>
    <xf numFmtId="0" fontId="33" fillId="2" borderId="234" xfId="0" applyFont="1" applyFill="1" applyBorder="1" applyAlignment="1" applyProtection="1">
      <alignment horizontal="center" vertical="center" wrapText="1"/>
      <protection hidden="1"/>
    </xf>
    <xf numFmtId="0" fontId="33" fillId="2" borderId="221" xfId="0" applyFont="1" applyFill="1" applyBorder="1" applyAlignment="1" applyProtection="1">
      <alignment horizontal="center" vertical="center" wrapText="1"/>
      <protection hidden="1"/>
    </xf>
    <xf numFmtId="0" fontId="33" fillId="2" borderId="63" xfId="0" applyFont="1" applyFill="1" applyBorder="1" applyAlignment="1" applyProtection="1">
      <alignment horizontal="center" vertical="center" wrapText="1"/>
      <protection hidden="1"/>
    </xf>
    <xf numFmtId="0" fontId="33" fillId="2" borderId="0" xfId="0" applyFont="1" applyFill="1" applyAlignment="1" applyProtection="1">
      <alignment horizontal="center" vertical="center" wrapText="1"/>
      <protection hidden="1"/>
    </xf>
    <xf numFmtId="0" fontId="33" fillId="2" borderId="235" xfId="0" applyFont="1" applyFill="1" applyBorder="1" applyAlignment="1" applyProtection="1">
      <alignment horizontal="center" vertical="center" wrapText="1"/>
      <protection hidden="1"/>
    </xf>
    <xf numFmtId="0" fontId="33" fillId="2" borderId="137" xfId="0" applyFont="1" applyFill="1" applyBorder="1" applyAlignment="1" applyProtection="1">
      <alignment horizontal="center" vertical="center" wrapText="1"/>
      <protection hidden="1"/>
    </xf>
    <xf numFmtId="0" fontId="33" fillId="2" borderId="138"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left" vertical="center" wrapText="1"/>
      <protection hidden="1"/>
    </xf>
    <xf numFmtId="0" fontId="33" fillId="2" borderId="85" xfId="0" applyFont="1" applyFill="1" applyBorder="1" applyAlignment="1" applyProtection="1">
      <alignment horizontal="left" vertical="center" wrapText="1"/>
      <protection hidden="1"/>
    </xf>
    <xf numFmtId="0" fontId="0" fillId="2" borderId="79" xfId="0" applyFill="1" applyBorder="1" applyAlignment="1" applyProtection="1">
      <alignment horizontal="left" vertical="top" wrapText="1"/>
      <protection hidden="1"/>
    </xf>
    <xf numFmtId="0" fontId="0" fillId="2" borderId="80" xfId="0" applyFill="1" applyBorder="1" applyAlignment="1" applyProtection="1">
      <alignment horizontal="left" vertical="top" wrapText="1"/>
      <protection hidden="1"/>
    </xf>
    <xf numFmtId="0" fontId="0" fillId="2" borderId="81" xfId="0" applyFill="1" applyBorder="1" applyAlignment="1" applyProtection="1">
      <alignment horizontal="left" vertical="top" wrapText="1"/>
      <protection hidden="1"/>
    </xf>
    <xf numFmtId="0" fontId="45" fillId="6" borderId="76" xfId="0" applyFont="1" applyFill="1" applyBorder="1" applyAlignment="1" applyProtection="1">
      <alignment horizontal="center" vertical="center" wrapText="1"/>
      <protection locked="0"/>
    </xf>
    <xf numFmtId="0" fontId="45" fillId="6" borderId="77" xfId="0" applyFont="1" applyFill="1" applyBorder="1" applyAlignment="1" applyProtection="1">
      <alignment horizontal="center" vertical="center" wrapText="1"/>
      <protection locked="0"/>
    </xf>
    <xf numFmtId="0" fontId="45" fillId="6" borderId="78" xfId="0" applyFont="1" applyFill="1" applyBorder="1" applyAlignment="1" applyProtection="1">
      <alignment horizontal="center" vertical="center" wrapText="1"/>
      <protection locked="0"/>
    </xf>
    <xf numFmtId="0" fontId="38" fillId="2" borderId="76" xfId="0" applyFont="1" applyFill="1" applyBorder="1" applyAlignment="1" applyProtection="1">
      <alignment horizontal="center" vertical="center" wrapText="1"/>
      <protection hidden="1"/>
    </xf>
    <xf numFmtId="0" fontId="38" fillId="2" borderId="77" xfId="0" applyFont="1" applyFill="1" applyBorder="1" applyAlignment="1" applyProtection="1">
      <alignment horizontal="center" vertical="center" wrapText="1"/>
      <protection hidden="1"/>
    </xf>
    <xf numFmtId="0" fontId="38" fillId="2" borderId="78" xfId="0" applyFont="1" applyFill="1" applyBorder="1" applyAlignment="1" applyProtection="1">
      <alignment horizontal="center" vertical="center" wrapText="1"/>
      <protection hidden="1"/>
    </xf>
    <xf numFmtId="0" fontId="62" fillId="6" borderId="79" xfId="0" applyFont="1" applyFill="1" applyBorder="1" applyAlignment="1" applyProtection="1">
      <alignment horizontal="center" vertical="top"/>
      <protection locked="0"/>
    </xf>
    <xf numFmtId="0" fontId="62" fillId="6" borderId="80" xfId="0" applyFont="1" applyFill="1" applyBorder="1" applyAlignment="1" applyProtection="1">
      <alignment horizontal="center" vertical="top"/>
      <protection locked="0"/>
    </xf>
    <xf numFmtId="0" fontId="62" fillId="6" borderId="81" xfId="0" applyFont="1" applyFill="1" applyBorder="1" applyAlignment="1" applyProtection="1">
      <alignment horizontal="center" vertical="top"/>
      <protection locked="0"/>
    </xf>
    <xf numFmtId="0" fontId="41" fillId="2" borderId="95" xfId="0" applyFont="1" applyFill="1" applyBorder="1" applyAlignment="1" applyProtection="1">
      <alignment horizontal="center" vertical="center" wrapText="1"/>
      <protection hidden="1"/>
    </xf>
    <xf numFmtId="0" fontId="41" fillId="2" borderId="69" xfId="0" applyFont="1" applyFill="1" applyBorder="1" applyAlignment="1" applyProtection="1">
      <alignment horizontal="center" vertical="center" wrapText="1"/>
      <protection hidden="1"/>
    </xf>
    <xf numFmtId="0" fontId="41" fillId="2" borderId="96" xfId="0" applyFont="1" applyFill="1" applyBorder="1" applyAlignment="1" applyProtection="1">
      <alignment horizontal="center" vertical="center" wrapText="1"/>
      <protection hidden="1"/>
    </xf>
    <xf numFmtId="0" fontId="41" fillId="2" borderId="97" xfId="0" applyFont="1" applyFill="1" applyBorder="1" applyAlignment="1" applyProtection="1">
      <alignment horizontal="center" vertical="center" wrapText="1"/>
      <protection hidden="1"/>
    </xf>
    <xf numFmtId="0" fontId="41" fillId="2" borderId="92" xfId="0" applyFont="1" applyFill="1" applyBorder="1" applyAlignment="1" applyProtection="1">
      <alignment horizontal="center" vertical="center" wrapText="1"/>
      <protection hidden="1"/>
    </xf>
    <xf numFmtId="0" fontId="41" fillId="2" borderId="98" xfId="0" applyFont="1" applyFill="1" applyBorder="1" applyAlignment="1" applyProtection="1">
      <alignment horizontal="center" vertical="center" wrapText="1"/>
      <protection hidden="1"/>
    </xf>
    <xf numFmtId="0" fontId="56" fillId="6" borderId="82" xfId="0" applyFont="1" applyFill="1" applyBorder="1" applyAlignment="1" applyProtection="1">
      <alignment horizontal="center" vertical="center" wrapText="1"/>
      <protection locked="0"/>
    </xf>
    <xf numFmtId="0" fontId="56" fillId="6" borderId="83" xfId="0" applyFont="1" applyFill="1" applyBorder="1" applyAlignment="1" applyProtection="1">
      <alignment horizontal="center" vertical="center" wrapText="1"/>
      <protection locked="0"/>
    </xf>
    <xf numFmtId="0" fontId="56" fillId="6" borderId="84" xfId="0" applyFont="1" applyFill="1" applyBorder="1" applyAlignment="1" applyProtection="1">
      <alignment horizontal="center" vertical="center" wrapText="1"/>
      <protection locked="0"/>
    </xf>
    <xf numFmtId="0" fontId="28" fillId="2" borderId="86" xfId="0" applyFont="1" applyFill="1" applyBorder="1" applyAlignment="1" applyProtection="1">
      <alignment horizontal="center" vertical="top"/>
      <protection hidden="1"/>
    </xf>
    <xf numFmtId="0" fontId="28" fillId="2" borderId="87" xfId="0" applyFont="1" applyFill="1" applyBorder="1" applyAlignment="1" applyProtection="1">
      <alignment horizontal="center" vertical="top"/>
      <protection hidden="1"/>
    </xf>
    <xf numFmtId="0" fontId="28" fillId="2" borderId="88" xfId="0" applyFont="1" applyFill="1" applyBorder="1" applyAlignment="1" applyProtection="1">
      <alignment horizontal="center" vertical="top"/>
      <protection hidden="1"/>
    </xf>
    <xf numFmtId="0" fontId="38" fillId="2" borderId="45" xfId="0" applyFont="1" applyFill="1" applyBorder="1" applyAlignment="1" applyProtection="1">
      <alignment horizontal="center" vertical="center" wrapText="1"/>
      <protection hidden="1"/>
    </xf>
    <xf numFmtId="0" fontId="38" fillId="2" borderId="85" xfId="0" applyFont="1" applyFill="1" applyBorder="1" applyAlignment="1" applyProtection="1">
      <alignment horizontal="center" vertical="center" wrapText="1"/>
      <protection hidden="1"/>
    </xf>
    <xf numFmtId="0" fontId="38" fillId="2" borderId="45" xfId="0" applyFont="1" applyFill="1" applyBorder="1" applyAlignment="1" applyProtection="1">
      <alignment horizontal="left" vertical="center" wrapText="1"/>
      <protection hidden="1"/>
    </xf>
    <xf numFmtId="0" fontId="38" fillId="2" borderId="77" xfId="0" applyFont="1" applyFill="1" applyBorder="1" applyAlignment="1" applyProtection="1">
      <alignment horizontal="left" vertical="center" wrapText="1"/>
      <protection hidden="1"/>
    </xf>
    <xf numFmtId="0" fontId="38" fillId="2" borderId="85" xfId="0" applyFont="1" applyFill="1" applyBorder="1" applyAlignment="1" applyProtection="1">
      <alignment horizontal="left" vertical="center" wrapText="1"/>
      <protection hidden="1"/>
    </xf>
    <xf numFmtId="0" fontId="38" fillId="2" borderId="89" xfId="0" applyFont="1" applyFill="1" applyBorder="1" applyAlignment="1" applyProtection="1">
      <alignment horizontal="center" vertical="center" wrapText="1"/>
      <protection hidden="1"/>
    </xf>
    <xf numFmtId="0" fontId="38" fillId="2" borderId="90" xfId="0" applyFont="1" applyFill="1" applyBorder="1" applyAlignment="1" applyProtection="1">
      <alignment horizontal="center" vertical="center" wrapText="1"/>
      <protection hidden="1"/>
    </xf>
    <xf numFmtId="0" fontId="38" fillId="2" borderId="91" xfId="0" applyFont="1" applyFill="1" applyBorder="1" applyAlignment="1" applyProtection="1">
      <alignment horizontal="center" vertical="center" wrapText="1"/>
      <protection hidden="1"/>
    </xf>
    <xf numFmtId="0" fontId="38" fillId="2" borderId="75" xfId="0" applyFont="1" applyFill="1" applyBorder="1" applyAlignment="1" applyProtection="1">
      <alignment horizontal="center" vertical="center" wrapText="1"/>
      <protection hidden="1"/>
    </xf>
    <xf numFmtId="0" fontId="38" fillId="2" borderId="92" xfId="0" applyFont="1" applyFill="1" applyBorder="1" applyAlignment="1" applyProtection="1">
      <alignment horizontal="center" vertical="center" wrapText="1"/>
      <protection hidden="1"/>
    </xf>
    <xf numFmtId="0" fontId="38" fillId="2" borderId="93" xfId="0" applyFont="1" applyFill="1" applyBorder="1" applyAlignment="1" applyProtection="1">
      <alignment horizontal="center" vertical="center" wrapText="1"/>
      <protection hidden="1"/>
    </xf>
    <xf numFmtId="1" fontId="45" fillId="6" borderId="45" xfId="3" applyNumberFormat="1" applyFont="1" applyFill="1" applyBorder="1" applyAlignment="1" applyProtection="1">
      <alignment horizontal="center" vertical="center"/>
      <protection locked="0"/>
    </xf>
    <xf numFmtId="1" fontId="45" fillId="6" borderId="77" xfId="3" applyNumberFormat="1" applyFont="1" applyFill="1" applyBorder="1" applyAlignment="1" applyProtection="1">
      <alignment horizontal="center" vertical="center"/>
      <protection locked="0"/>
    </xf>
    <xf numFmtId="0" fontId="58" fillId="0" borderId="53" xfId="0" applyFont="1" applyBorder="1" applyAlignment="1" applyProtection="1">
      <alignment horizontal="center" vertical="center" wrapText="1"/>
      <protection hidden="1"/>
    </xf>
    <xf numFmtId="0" fontId="38" fillId="2" borderId="94" xfId="0" applyFont="1" applyFill="1" applyBorder="1" applyAlignment="1" applyProtection="1">
      <alignment horizontal="center" vertical="center" wrapText="1"/>
      <protection hidden="1"/>
    </xf>
    <xf numFmtId="0" fontId="38" fillId="2" borderId="0" xfId="0" applyFont="1" applyFill="1" applyAlignment="1" applyProtection="1">
      <alignment horizontal="center" vertical="center" wrapText="1"/>
      <protection hidden="1"/>
    </xf>
    <xf numFmtId="0" fontId="38" fillId="2" borderId="50" xfId="0" applyFont="1" applyFill="1" applyBorder="1" applyAlignment="1" applyProtection="1">
      <alignment horizontal="center" vertical="center" wrapText="1"/>
      <protection hidden="1"/>
    </xf>
    <xf numFmtId="0" fontId="38" fillId="2" borderId="75" xfId="0" applyFont="1" applyFill="1" applyBorder="1" applyAlignment="1" applyProtection="1">
      <alignment vertical="center" wrapText="1"/>
      <protection hidden="1"/>
    </xf>
    <xf numFmtId="0" fontId="38" fillId="2" borderId="92" xfId="0" applyFont="1" applyFill="1" applyBorder="1" applyAlignment="1" applyProtection="1">
      <alignment vertical="center" wrapText="1"/>
      <protection hidden="1"/>
    </xf>
    <xf numFmtId="0" fontId="38" fillId="2" borderId="93" xfId="0" applyFont="1" applyFill="1" applyBorder="1" applyAlignment="1" applyProtection="1">
      <alignment vertical="center" wrapText="1"/>
      <protection hidden="1"/>
    </xf>
    <xf numFmtId="0" fontId="63" fillId="2" borderId="94" xfId="0" applyFont="1" applyFill="1" applyBorder="1" applyAlignment="1" applyProtection="1">
      <alignment horizontal="center" vertical="center" wrapText="1"/>
      <protection hidden="1"/>
    </xf>
    <xf numFmtId="0" fontId="63" fillId="2" borderId="0" xfId="0" applyFont="1" applyFill="1" applyAlignment="1" applyProtection="1">
      <alignment horizontal="center" vertical="center" wrapText="1"/>
      <protection hidden="1"/>
    </xf>
    <xf numFmtId="0" fontId="63" fillId="2" borderId="50" xfId="0" applyFont="1" applyFill="1" applyBorder="1" applyAlignment="1" applyProtection="1">
      <alignment horizontal="center" vertical="center" wrapText="1"/>
      <protection hidden="1"/>
    </xf>
    <xf numFmtId="0" fontId="63" fillId="2" borderId="75" xfId="0" applyFont="1" applyFill="1" applyBorder="1" applyAlignment="1" applyProtection="1">
      <alignment horizontal="center" vertical="center" wrapText="1"/>
      <protection hidden="1"/>
    </xf>
    <xf numFmtId="0" fontId="63" fillId="2" borderId="92" xfId="0" applyFont="1" applyFill="1" applyBorder="1" applyAlignment="1" applyProtection="1">
      <alignment horizontal="center" vertical="center" wrapText="1"/>
      <protection hidden="1"/>
    </xf>
    <xf numFmtId="0" fontId="63" fillId="2" borderId="93" xfId="0" applyFont="1" applyFill="1" applyBorder="1" applyAlignment="1" applyProtection="1">
      <alignment horizontal="center" vertical="center" wrapText="1"/>
      <protection hidden="1"/>
    </xf>
    <xf numFmtId="1" fontId="45" fillId="6" borderId="75" xfId="3" applyNumberFormat="1" applyFont="1" applyFill="1" applyBorder="1" applyAlignment="1" applyProtection="1">
      <alignment horizontal="center" vertical="center"/>
      <protection locked="0"/>
    </xf>
    <xf numFmtId="1" fontId="45" fillId="6" borderId="92" xfId="3" applyNumberFormat="1" applyFont="1" applyFill="1" applyBorder="1" applyAlignment="1" applyProtection="1">
      <alignment horizontal="center" vertical="center"/>
      <protection locked="0"/>
    </xf>
    <xf numFmtId="0" fontId="38" fillId="2" borderId="92" xfId="0" applyFont="1" applyFill="1" applyBorder="1" applyAlignment="1" applyProtection="1">
      <alignment horizontal="left" vertical="center" wrapText="1" indent="1"/>
      <protection hidden="1"/>
    </xf>
    <xf numFmtId="0" fontId="38" fillId="2" borderId="93" xfId="0" applyFont="1" applyFill="1" applyBorder="1" applyAlignment="1" applyProtection="1">
      <alignment horizontal="left" vertical="center" wrapText="1" indent="1"/>
      <protection hidden="1"/>
    </xf>
    <xf numFmtId="0" fontId="38" fillId="2" borderId="45" xfId="0" applyFont="1" applyFill="1" applyBorder="1" applyAlignment="1" applyProtection="1">
      <alignment vertical="center" wrapText="1"/>
      <protection hidden="1"/>
    </xf>
    <xf numFmtId="0" fontId="38" fillId="2" borderId="77" xfId="0" applyFont="1" applyFill="1" applyBorder="1" applyAlignment="1" applyProtection="1">
      <alignment vertical="center" wrapText="1"/>
      <protection hidden="1"/>
    </xf>
    <xf numFmtId="0" fontId="38" fillId="2" borderId="85" xfId="0" applyFont="1" applyFill="1" applyBorder="1" applyAlignment="1" applyProtection="1">
      <alignment vertical="center" wrapText="1"/>
      <protection hidden="1"/>
    </xf>
    <xf numFmtId="0" fontId="38" fillId="2" borderId="72" xfId="0" applyFont="1" applyFill="1" applyBorder="1" applyAlignment="1" applyProtection="1">
      <alignment horizontal="center" vertical="center" wrapText="1"/>
      <protection hidden="1"/>
    </xf>
    <xf numFmtId="0" fontId="38" fillId="0" borderId="53" xfId="0" applyFont="1" applyBorder="1" applyAlignment="1" applyProtection="1">
      <alignment horizontal="left" vertical="center" wrapText="1"/>
      <protection hidden="1"/>
    </xf>
    <xf numFmtId="0" fontId="45" fillId="6" borderId="53" xfId="0" applyFont="1" applyFill="1" applyBorder="1" applyAlignment="1" applyProtection="1">
      <alignment horizontal="center" vertical="center" wrapText="1"/>
      <protection locked="0"/>
    </xf>
    <xf numFmtId="0" fontId="28" fillId="24" borderId="65" xfId="0" applyFont="1" applyFill="1" applyBorder="1" applyAlignment="1">
      <alignment horizontal="center"/>
    </xf>
    <xf numFmtId="14" fontId="31" fillId="6" borderId="79" xfId="0" applyNumberFormat="1" applyFont="1" applyFill="1" applyBorder="1" applyAlignment="1" applyProtection="1">
      <alignment horizontal="center" vertical="center"/>
      <protection locked="0"/>
    </xf>
    <xf numFmtId="14" fontId="31" fillId="6" borderId="80" xfId="0" applyNumberFormat="1" applyFont="1" applyFill="1" applyBorder="1" applyAlignment="1" applyProtection="1">
      <alignment horizontal="center" vertical="center"/>
      <protection locked="0"/>
    </xf>
    <xf numFmtId="14" fontId="31" fillId="6" borderId="81" xfId="0" applyNumberFormat="1" applyFont="1" applyFill="1" applyBorder="1" applyAlignment="1" applyProtection="1">
      <alignment horizontal="center" vertical="center"/>
      <protection locked="0"/>
    </xf>
    <xf numFmtId="0" fontId="41" fillId="2" borderId="231" xfId="0" applyFont="1" applyFill="1" applyBorder="1" applyAlignment="1" applyProtection="1">
      <alignment horizontal="center" vertical="center" wrapText="1"/>
      <protection hidden="1"/>
    </xf>
    <xf numFmtId="0" fontId="41" fillId="2" borderId="232" xfId="0" applyFont="1" applyFill="1" applyBorder="1" applyAlignment="1" applyProtection="1">
      <alignment horizontal="center" vertical="center" wrapText="1"/>
      <protection hidden="1"/>
    </xf>
    <xf numFmtId="0" fontId="45" fillId="6" borderId="233" xfId="0" applyFont="1" applyFill="1" applyBorder="1" applyAlignment="1" applyProtection="1">
      <alignment horizontal="center" vertical="center" wrapText="1"/>
      <protection locked="0"/>
    </xf>
    <xf numFmtId="0" fontId="75" fillId="2" borderId="0" xfId="0" applyFont="1" applyFill="1" applyAlignment="1" applyProtection="1">
      <alignment horizontal="center" vertical="top" wrapText="1"/>
      <protection hidden="1"/>
    </xf>
    <xf numFmtId="0" fontId="45" fillId="6" borderId="46" xfId="0" applyFont="1" applyFill="1" applyBorder="1" applyAlignment="1" applyProtection="1">
      <alignment horizontal="center" vertical="center" wrapText="1"/>
      <protection locked="0"/>
    </xf>
    <xf numFmtId="0" fontId="45" fillId="6" borderId="51" xfId="0" applyFont="1" applyFill="1" applyBorder="1" applyAlignment="1" applyProtection="1">
      <alignment horizontal="center" vertical="center" wrapText="1"/>
      <protection locked="0"/>
    </xf>
    <xf numFmtId="0" fontId="38" fillId="0" borderId="46" xfId="0" applyFont="1" applyBorder="1" applyAlignment="1" applyProtection="1">
      <alignment horizontal="center" vertical="center" wrapText="1"/>
      <protection hidden="1"/>
    </xf>
    <xf numFmtId="0" fontId="38" fillId="0" borderId="49" xfId="0" applyFont="1" applyBorder="1" applyAlignment="1" applyProtection="1">
      <alignment horizontal="center" vertical="center" wrapText="1"/>
      <protection hidden="1"/>
    </xf>
    <xf numFmtId="0" fontId="38" fillId="0" borderId="51" xfId="0" applyFont="1" applyBorder="1" applyAlignment="1" applyProtection="1">
      <alignment horizontal="center" vertical="center" wrapText="1"/>
      <protection hidden="1"/>
    </xf>
    <xf numFmtId="0" fontId="58" fillId="0" borderId="46" xfId="0" applyFont="1" applyBorder="1" applyAlignment="1" applyProtection="1">
      <alignment horizontal="center" vertical="center" wrapText="1"/>
      <protection hidden="1"/>
    </xf>
    <xf numFmtId="0" fontId="58" fillId="0" borderId="49" xfId="0" applyFont="1" applyBorder="1" applyAlignment="1" applyProtection="1">
      <alignment horizontal="center" vertical="center" wrapText="1"/>
      <protection hidden="1"/>
    </xf>
    <xf numFmtId="0" fontId="58" fillId="0" borderId="51" xfId="0" applyFont="1" applyBorder="1" applyAlignment="1" applyProtection="1">
      <alignment horizontal="center" vertical="center" wrapText="1"/>
      <protection hidden="1"/>
    </xf>
    <xf numFmtId="0" fontId="41" fillId="2" borderId="99" xfId="0" applyFont="1" applyFill="1" applyBorder="1" applyAlignment="1" applyProtection="1">
      <alignment horizontal="center" vertical="center" wrapText="1"/>
      <protection hidden="1"/>
    </xf>
    <xf numFmtId="0" fontId="41" fillId="2" borderId="66" xfId="0" applyFont="1" applyFill="1" applyBorder="1" applyAlignment="1" applyProtection="1">
      <alignment horizontal="center" vertical="center" wrapText="1"/>
      <protection hidden="1"/>
    </xf>
    <xf numFmtId="0" fontId="41" fillId="2" borderId="100" xfId="0" applyFont="1" applyFill="1" applyBorder="1" applyAlignment="1" applyProtection="1">
      <alignment horizontal="center" vertical="center" wrapText="1"/>
      <protection hidden="1"/>
    </xf>
    <xf numFmtId="3" fontId="31" fillId="6" borderId="53" xfId="0" applyNumberFormat="1" applyFont="1" applyFill="1" applyBorder="1" applyAlignment="1" applyProtection="1">
      <alignment horizontal="right" vertical="center" indent="2"/>
      <protection locked="0"/>
    </xf>
    <xf numFmtId="0" fontId="42" fillId="2" borderId="53" xfId="0" applyFont="1" applyFill="1" applyBorder="1" applyAlignment="1">
      <alignment horizontal="center" vertical="center" wrapText="1"/>
    </xf>
    <xf numFmtId="0" fontId="43" fillId="2" borderId="53" xfId="0" applyFont="1" applyFill="1" applyBorder="1" applyAlignment="1">
      <alignment horizontal="center" vertical="center" wrapText="1"/>
    </xf>
    <xf numFmtId="3" fontId="28" fillId="2" borderId="53" xfId="0" applyNumberFormat="1" applyFont="1" applyFill="1" applyBorder="1" applyAlignment="1">
      <alignment horizontal="right" vertical="center" indent="2"/>
    </xf>
    <xf numFmtId="166" fontId="28" fillId="2" borderId="53" xfId="3" applyNumberFormat="1" applyFont="1" applyFill="1" applyBorder="1" applyAlignment="1">
      <alignment horizontal="right" vertical="center" indent="2"/>
    </xf>
    <xf numFmtId="3" fontId="32" fillId="2" borderId="53" xfId="0" applyNumberFormat="1" applyFont="1" applyFill="1" applyBorder="1" applyAlignment="1">
      <alignment horizontal="right" vertical="center" indent="2"/>
    </xf>
    <xf numFmtId="3" fontId="28" fillId="2" borderId="0" xfId="0" applyNumberFormat="1" applyFont="1" applyFill="1" applyAlignment="1">
      <alignment horizontal="right" vertical="center" indent="2"/>
    </xf>
    <xf numFmtId="166" fontId="28" fillId="2" borderId="0" xfId="3" applyNumberFormat="1" applyFont="1" applyFill="1" applyBorder="1" applyAlignment="1">
      <alignment horizontal="right" vertical="center" indent="2"/>
    </xf>
    <xf numFmtId="0" fontId="32" fillId="2" borderId="53" xfId="0" applyFont="1" applyFill="1" applyBorder="1" applyAlignment="1">
      <alignment horizontal="center" vertical="center"/>
    </xf>
    <xf numFmtId="10" fontId="32" fillId="2" borderId="53" xfId="0" applyNumberFormat="1" applyFont="1" applyFill="1" applyBorder="1" applyAlignment="1">
      <alignment horizontal="center" vertical="center"/>
    </xf>
    <xf numFmtId="0" fontId="32" fillId="2" borderId="101" xfId="0" applyFont="1" applyFill="1" applyBorder="1" applyAlignment="1">
      <alignment horizontal="center" vertical="center"/>
    </xf>
    <xf numFmtId="0" fontId="32" fillId="2" borderId="102" xfId="0" applyFont="1" applyFill="1" applyBorder="1" applyAlignment="1">
      <alignment horizontal="center" vertical="center"/>
    </xf>
    <xf numFmtId="0" fontId="32" fillId="2" borderId="103" xfId="0" applyFont="1" applyFill="1" applyBorder="1" applyAlignment="1">
      <alignment horizontal="center" vertical="center"/>
    </xf>
    <xf numFmtId="0" fontId="32" fillId="2" borderId="104" xfId="0" applyFont="1" applyFill="1" applyBorder="1" applyAlignment="1">
      <alignment horizontal="center" vertical="center"/>
    </xf>
    <xf numFmtId="0" fontId="32" fillId="2" borderId="86" xfId="0" applyFont="1" applyFill="1" applyBorder="1" applyAlignment="1">
      <alignment horizontal="center" vertical="center"/>
    </xf>
    <xf numFmtId="0" fontId="32" fillId="2" borderId="105" xfId="0" applyFont="1" applyFill="1" applyBorder="1" applyAlignment="1">
      <alignment horizontal="center" vertical="center"/>
    </xf>
    <xf numFmtId="0" fontId="42" fillId="2" borderId="0" xfId="0" applyFont="1" applyFill="1" applyAlignment="1">
      <alignment horizontal="center" vertical="center" wrapText="1"/>
    </xf>
    <xf numFmtId="0" fontId="1" fillId="2" borderId="0" xfId="0" applyFont="1" applyFill="1" applyAlignment="1">
      <alignment horizontal="center" vertical="center" wrapText="1"/>
    </xf>
    <xf numFmtId="0" fontId="28" fillId="2" borderId="0" xfId="0" applyFont="1" applyFill="1" applyAlignment="1">
      <alignment horizontal="center" vertical="center" wrapText="1"/>
    </xf>
    <xf numFmtId="0" fontId="28" fillId="2" borderId="53" xfId="0" applyFont="1" applyFill="1" applyBorder="1" applyAlignment="1">
      <alignment horizontal="center" vertical="center"/>
    </xf>
    <xf numFmtId="0" fontId="28" fillId="2" borderId="46" xfId="0" applyFont="1" applyFill="1" applyBorder="1" applyAlignment="1">
      <alignment horizontal="center" vertical="center"/>
    </xf>
    <xf numFmtId="0" fontId="31" fillId="6" borderId="53" xfId="0" applyFont="1" applyFill="1" applyBorder="1" applyAlignment="1" applyProtection="1">
      <alignment horizontal="center" vertical="center"/>
      <protection locked="0"/>
    </xf>
    <xf numFmtId="0" fontId="32" fillId="2" borderId="46" xfId="0" applyFont="1" applyFill="1" applyBorder="1" applyAlignment="1">
      <alignment horizontal="center" vertical="center"/>
    </xf>
    <xf numFmtId="0" fontId="32" fillId="2" borderId="49" xfId="0" applyFont="1" applyFill="1" applyBorder="1" applyAlignment="1">
      <alignment horizontal="center" vertical="center"/>
    </xf>
    <xf numFmtId="0" fontId="32" fillId="2" borderId="51" xfId="0" applyFont="1" applyFill="1" applyBorder="1" applyAlignment="1">
      <alignment horizontal="center" vertical="center"/>
    </xf>
    <xf numFmtId="0" fontId="43" fillId="2" borderId="53" xfId="0" applyFont="1" applyFill="1" applyBorder="1" applyAlignment="1">
      <alignment horizontal="center" vertical="center"/>
    </xf>
    <xf numFmtId="0" fontId="65" fillId="2" borderId="53" xfId="0" applyFont="1" applyFill="1" applyBorder="1" applyAlignment="1">
      <alignment horizontal="center" vertical="center" wrapText="1"/>
    </xf>
    <xf numFmtId="0" fontId="38" fillId="2" borderId="53" xfId="0" applyFont="1" applyFill="1" applyBorder="1" applyAlignment="1">
      <alignment horizontal="center" vertical="center" wrapText="1"/>
    </xf>
    <xf numFmtId="0" fontId="28" fillId="2" borderId="106" xfId="0" applyFont="1" applyFill="1" applyBorder="1" applyAlignment="1">
      <alignment horizontal="center" vertical="center"/>
    </xf>
    <xf numFmtId="0" fontId="38" fillId="2" borderId="106" xfId="0" applyFont="1" applyFill="1" applyBorder="1" applyAlignment="1">
      <alignment horizontal="center" vertical="center" wrapText="1"/>
    </xf>
    <xf numFmtId="0" fontId="64" fillId="2" borderId="53" xfId="0" applyFont="1" applyFill="1" applyBorder="1" applyAlignment="1">
      <alignment horizontal="center" vertical="center" wrapText="1"/>
    </xf>
    <xf numFmtId="3" fontId="44" fillId="6" borderId="51" xfId="0" applyNumberFormat="1" applyFont="1" applyFill="1" applyBorder="1" applyAlignment="1" applyProtection="1">
      <alignment horizontal="center" vertical="center"/>
      <protection locked="0"/>
    </xf>
    <xf numFmtId="3" fontId="44" fillId="6" borderId="53" xfId="0" applyNumberFormat="1" applyFont="1" applyFill="1" applyBorder="1" applyAlignment="1" applyProtection="1">
      <alignment horizontal="center" vertical="center"/>
      <protection locked="0"/>
    </xf>
    <xf numFmtId="166" fontId="32" fillId="2" borderId="53" xfId="3" applyNumberFormat="1" applyFont="1" applyFill="1" applyBorder="1" applyAlignment="1">
      <alignment horizontal="right" vertical="center" indent="2"/>
    </xf>
    <xf numFmtId="0" fontId="32" fillId="2" borderId="123" xfId="0" applyFont="1" applyFill="1" applyBorder="1" applyAlignment="1" applyProtection="1">
      <alignment horizontal="center" vertical="center" wrapText="1"/>
      <protection hidden="1"/>
    </xf>
    <xf numFmtId="0" fontId="32" fillId="2" borderId="124" xfId="0" applyFont="1" applyFill="1" applyBorder="1" applyAlignment="1" applyProtection="1">
      <alignment horizontal="center" vertical="center" wrapText="1"/>
      <protection hidden="1"/>
    </xf>
    <xf numFmtId="0" fontId="38" fillId="2" borderId="117" xfId="0" applyFont="1" applyFill="1" applyBorder="1" applyAlignment="1" applyProtection="1">
      <alignment horizontal="center" vertical="center" wrapText="1"/>
      <protection hidden="1"/>
    </xf>
    <xf numFmtId="0" fontId="38" fillId="2" borderId="108" xfId="0" applyFont="1" applyFill="1" applyBorder="1" applyAlignment="1" applyProtection="1">
      <alignment horizontal="center" vertical="center" wrapText="1"/>
      <protection hidden="1"/>
    </xf>
    <xf numFmtId="1" fontId="38" fillId="2" borderId="72" xfId="0" applyNumberFormat="1" applyFont="1" applyFill="1" applyBorder="1" applyAlignment="1" applyProtection="1">
      <alignment horizontal="center" vertical="center" wrapText="1"/>
      <protection hidden="1"/>
    </xf>
    <xf numFmtId="1" fontId="38" fillId="2" borderId="107" xfId="0" applyNumberFormat="1" applyFont="1" applyFill="1" applyBorder="1" applyAlignment="1" applyProtection="1">
      <alignment horizontal="center" vertical="center" wrapText="1"/>
      <protection hidden="1"/>
    </xf>
    <xf numFmtId="1" fontId="38" fillId="2" borderId="108" xfId="0" applyNumberFormat="1" applyFont="1" applyFill="1" applyBorder="1" applyAlignment="1" applyProtection="1">
      <alignment horizontal="center" vertical="center" wrapText="1"/>
      <protection hidden="1"/>
    </xf>
    <xf numFmtId="0" fontId="45" fillId="6" borderId="115" xfId="0" applyFont="1" applyFill="1" applyBorder="1" applyAlignment="1" applyProtection="1">
      <alignment horizontal="center" vertical="center" wrapText="1"/>
      <protection locked="0"/>
    </xf>
    <xf numFmtId="0" fontId="45" fillId="6" borderId="116" xfId="0" applyFont="1" applyFill="1" applyBorder="1" applyAlignment="1" applyProtection="1">
      <alignment horizontal="center" vertical="center" wrapText="1"/>
      <protection locked="0"/>
    </xf>
    <xf numFmtId="9" fontId="38" fillId="0" borderId="111" xfId="3" applyFont="1" applyBorder="1" applyAlignment="1" applyProtection="1">
      <alignment horizontal="center" vertical="center" wrapText="1"/>
      <protection hidden="1"/>
    </xf>
    <xf numFmtId="9" fontId="38" fillId="0" borderId="112" xfId="3" applyFont="1" applyBorder="1" applyAlignment="1" applyProtection="1">
      <alignment horizontal="center" vertical="center" wrapText="1"/>
      <protection hidden="1"/>
    </xf>
    <xf numFmtId="0" fontId="32" fillId="2" borderId="104" xfId="0" applyFont="1" applyFill="1" applyBorder="1" applyAlignment="1" applyProtection="1">
      <alignment horizontal="center" vertical="top"/>
      <protection hidden="1"/>
    </xf>
    <xf numFmtId="0" fontId="32" fillId="2" borderId="86" xfId="0" applyFont="1" applyFill="1" applyBorder="1" applyAlignment="1" applyProtection="1">
      <alignment horizontal="center" vertical="top"/>
      <protection hidden="1"/>
    </xf>
    <xf numFmtId="0" fontId="32" fillId="2" borderId="87" xfId="0" applyFont="1" applyFill="1" applyBorder="1" applyAlignment="1" applyProtection="1">
      <alignment horizontal="center" vertical="top"/>
      <protection hidden="1"/>
    </xf>
    <xf numFmtId="0" fontId="32" fillId="2" borderId="88" xfId="0" applyFont="1" applyFill="1" applyBorder="1" applyAlignment="1" applyProtection="1">
      <alignment horizontal="center" vertical="top"/>
      <protection hidden="1"/>
    </xf>
    <xf numFmtId="0" fontId="45" fillId="6" borderId="109" xfId="0" applyFont="1" applyFill="1" applyBorder="1" applyAlignment="1" applyProtection="1">
      <alignment horizontal="center" vertical="center" wrapText="1"/>
      <protection locked="0"/>
    </xf>
    <xf numFmtId="0" fontId="45" fillId="6" borderId="110" xfId="0" applyFont="1" applyFill="1" applyBorder="1" applyAlignment="1" applyProtection="1">
      <alignment horizontal="center" vertical="center" wrapText="1"/>
      <protection locked="0"/>
    </xf>
    <xf numFmtId="9" fontId="45" fillId="6" borderId="111" xfId="3" applyFont="1" applyFill="1" applyBorder="1" applyAlignment="1" applyProtection="1">
      <alignment horizontal="center" vertical="center"/>
      <protection locked="0"/>
    </xf>
    <xf numFmtId="9" fontId="45" fillId="6" borderId="112" xfId="3" applyFont="1" applyFill="1" applyBorder="1" applyAlignment="1" applyProtection="1">
      <alignment horizontal="center" vertical="center"/>
      <protection locked="0"/>
    </xf>
    <xf numFmtId="0" fontId="38" fillId="2" borderId="118" xfId="0" applyFont="1" applyFill="1" applyBorder="1" applyAlignment="1" applyProtection="1">
      <alignment horizontal="center" vertical="center" wrapText="1"/>
      <protection hidden="1"/>
    </xf>
    <xf numFmtId="0" fontId="32" fillId="0" borderId="119" xfId="0" applyFont="1" applyBorder="1" applyAlignment="1" applyProtection="1">
      <alignment horizontal="center" vertical="center" wrapText="1"/>
      <protection hidden="1"/>
    </xf>
    <xf numFmtId="0" fontId="32" fillId="0" borderId="120" xfId="0" applyFont="1" applyBorder="1" applyAlignment="1" applyProtection="1">
      <alignment horizontal="center" vertical="center" wrapText="1"/>
      <protection hidden="1"/>
    </xf>
    <xf numFmtId="0" fontId="32" fillId="0" borderId="121" xfId="0" applyFont="1" applyBorder="1" applyAlignment="1" applyProtection="1">
      <alignment horizontal="center" vertical="center" wrapText="1"/>
      <protection hidden="1"/>
    </xf>
    <xf numFmtId="0" fontId="32" fillId="0" borderId="60" xfId="0" applyFont="1" applyBorder="1" applyAlignment="1" applyProtection="1">
      <alignment horizontal="center" vertical="center" wrapText="1"/>
      <protection hidden="1"/>
    </xf>
    <xf numFmtId="0" fontId="32" fillId="2" borderId="122" xfId="0" applyFont="1" applyFill="1" applyBorder="1" applyAlignment="1" applyProtection="1">
      <alignment horizontal="center" vertical="center" wrapText="1"/>
      <protection hidden="1"/>
    </xf>
    <xf numFmtId="9" fontId="56" fillId="6" borderId="175" xfId="3" applyFont="1" applyFill="1" applyBorder="1" applyAlignment="1" applyProtection="1">
      <alignment horizontal="center" vertical="center"/>
      <protection locked="0"/>
    </xf>
    <xf numFmtId="1" fontId="33" fillId="0" borderId="173" xfId="0" applyNumberFormat="1" applyFont="1" applyBorder="1" applyAlignment="1" applyProtection="1">
      <alignment horizontal="center" vertical="center" wrapText="1"/>
      <protection hidden="1"/>
    </xf>
    <xf numFmtId="1" fontId="33" fillId="0" borderId="174" xfId="0" applyNumberFormat="1" applyFont="1" applyBorder="1" applyAlignment="1" applyProtection="1">
      <alignment horizontal="center" vertical="center" wrapText="1"/>
      <protection hidden="1"/>
    </xf>
    <xf numFmtId="9" fontId="45" fillId="6" borderId="119" xfId="3" applyFont="1" applyFill="1" applyBorder="1" applyAlignment="1" applyProtection="1">
      <alignment horizontal="center" vertical="center"/>
      <protection locked="0"/>
    </xf>
    <xf numFmtId="9" fontId="45" fillId="6" borderId="120" xfId="3" applyFont="1" applyFill="1" applyBorder="1" applyAlignment="1" applyProtection="1">
      <alignment horizontal="center" vertical="center"/>
      <protection locked="0"/>
    </xf>
    <xf numFmtId="1" fontId="45" fillId="6" borderId="53" xfId="0" applyNumberFormat="1" applyFont="1" applyFill="1" applyBorder="1" applyAlignment="1" applyProtection="1">
      <alignment horizontal="center" vertical="center" wrapText="1"/>
      <protection locked="0"/>
    </xf>
    <xf numFmtId="0" fontId="28" fillId="2" borderId="49" xfId="0" applyFont="1" applyFill="1" applyBorder="1" applyAlignment="1" applyProtection="1">
      <alignment horizontal="left" vertical="center" wrapText="1"/>
      <protection hidden="1"/>
    </xf>
    <xf numFmtId="0" fontId="28" fillId="2" borderId="51" xfId="0" applyFont="1" applyFill="1" applyBorder="1" applyAlignment="1" applyProtection="1">
      <alignment horizontal="left" vertical="center" wrapText="1"/>
      <protection hidden="1"/>
    </xf>
    <xf numFmtId="1" fontId="41" fillId="0" borderId="61" xfId="0" applyNumberFormat="1" applyFont="1" applyBorder="1" applyAlignment="1" applyProtection="1">
      <alignment horizontal="center" vertical="center" wrapText="1"/>
      <protection hidden="1"/>
    </xf>
    <xf numFmtId="0" fontId="28" fillId="2" borderId="119" xfId="0" applyFont="1" applyFill="1" applyBorder="1" applyAlignment="1" applyProtection="1">
      <alignment horizontal="center" vertical="center" wrapText="1"/>
      <protection hidden="1"/>
    </xf>
    <xf numFmtId="0" fontId="28" fillId="2" borderId="125" xfId="0" applyFont="1" applyFill="1" applyBorder="1" applyAlignment="1" applyProtection="1">
      <alignment horizontal="center" vertical="center" wrapText="1"/>
      <protection hidden="1"/>
    </xf>
    <xf numFmtId="0" fontId="28" fillId="2" borderId="120" xfId="0" applyFont="1" applyFill="1" applyBorder="1" applyAlignment="1" applyProtection="1">
      <alignment horizontal="center" vertical="center" wrapText="1"/>
      <protection hidden="1"/>
    </xf>
    <xf numFmtId="0" fontId="28" fillId="2" borderId="121" xfId="0" applyFont="1" applyFill="1" applyBorder="1" applyAlignment="1" applyProtection="1">
      <alignment horizontal="center" vertical="center" wrapText="1"/>
      <protection hidden="1"/>
    </xf>
    <xf numFmtId="0" fontId="28" fillId="2" borderId="59" xfId="0" applyFont="1" applyFill="1" applyBorder="1" applyAlignment="1" applyProtection="1">
      <alignment horizontal="center" vertical="center" wrapText="1"/>
      <protection hidden="1"/>
    </xf>
    <xf numFmtId="0" fontId="28" fillId="2" borderId="60" xfId="0" applyFont="1" applyFill="1" applyBorder="1" applyAlignment="1" applyProtection="1">
      <alignment horizontal="center" vertical="center" wrapText="1"/>
      <protection hidden="1"/>
    </xf>
    <xf numFmtId="10" fontId="28" fillId="2" borderId="119" xfId="0" applyNumberFormat="1" applyFont="1" applyFill="1" applyBorder="1" applyAlignment="1" applyProtection="1">
      <alignment horizontal="center" vertical="center" wrapText="1"/>
      <protection hidden="1"/>
    </xf>
    <xf numFmtId="10" fontId="28" fillId="2" borderId="125" xfId="0" applyNumberFormat="1" applyFont="1" applyFill="1" applyBorder="1" applyAlignment="1" applyProtection="1">
      <alignment horizontal="center" vertical="center" wrapText="1"/>
      <protection hidden="1"/>
    </xf>
    <xf numFmtId="10" fontId="28" fillId="2" borderId="120" xfId="0" applyNumberFormat="1" applyFont="1" applyFill="1" applyBorder="1" applyAlignment="1" applyProtection="1">
      <alignment horizontal="center" vertical="center" wrapText="1"/>
      <protection hidden="1"/>
    </xf>
    <xf numFmtId="10" fontId="28" fillId="2" borderId="121" xfId="0" applyNumberFormat="1" applyFont="1" applyFill="1" applyBorder="1" applyAlignment="1" applyProtection="1">
      <alignment horizontal="center" vertical="center" wrapText="1"/>
      <protection hidden="1"/>
    </xf>
    <xf numFmtId="10" fontId="28" fillId="2" borderId="59" xfId="0" applyNumberFormat="1" applyFont="1" applyFill="1" applyBorder="1" applyAlignment="1" applyProtection="1">
      <alignment horizontal="center" vertical="center" wrapText="1"/>
      <protection hidden="1"/>
    </xf>
    <xf numFmtId="10" fontId="28" fillId="2" borderId="60" xfId="0" applyNumberFormat="1" applyFont="1" applyFill="1" applyBorder="1" applyAlignment="1" applyProtection="1">
      <alignment horizontal="center" vertical="center" wrapText="1"/>
      <protection hidden="1"/>
    </xf>
    <xf numFmtId="0" fontId="28" fillId="2" borderId="61" xfId="0" applyFont="1" applyFill="1" applyBorder="1" applyAlignment="1" applyProtection="1">
      <alignment horizontal="center" vertical="center" wrapText="1"/>
      <protection hidden="1"/>
    </xf>
    <xf numFmtId="0" fontId="32" fillId="2" borderId="111" xfId="0" applyFont="1" applyFill="1" applyBorder="1" applyAlignment="1" applyProtection="1">
      <alignment horizontal="center" vertical="top"/>
      <protection hidden="1"/>
    </xf>
    <xf numFmtId="0" fontId="32" fillId="2" borderId="130" xfId="0" applyFont="1" applyFill="1" applyBorder="1" applyAlignment="1" applyProtection="1">
      <alignment horizontal="center" vertical="top"/>
      <protection hidden="1"/>
    </xf>
    <xf numFmtId="0" fontId="32" fillId="2" borderId="112" xfId="0" applyFont="1" applyFill="1" applyBorder="1" applyAlignment="1" applyProtection="1">
      <alignment horizontal="center" vertical="top"/>
      <protection hidden="1"/>
    </xf>
    <xf numFmtId="0" fontId="32" fillId="2" borderId="137" xfId="0" applyFont="1" applyFill="1" applyBorder="1" applyAlignment="1" applyProtection="1">
      <alignment horizontal="center" vertical="top" wrapText="1"/>
      <protection hidden="1"/>
    </xf>
    <xf numFmtId="0" fontId="32" fillId="2" borderId="92" xfId="0" applyFont="1" applyFill="1" applyBorder="1" applyAlignment="1" applyProtection="1">
      <alignment horizontal="center" vertical="top" wrapText="1"/>
      <protection hidden="1"/>
    </xf>
    <xf numFmtId="0" fontId="32" fillId="2" borderId="138" xfId="0" applyFont="1" applyFill="1" applyBorder="1" applyAlignment="1" applyProtection="1">
      <alignment horizontal="center" vertical="top" wrapText="1"/>
      <protection hidden="1"/>
    </xf>
    <xf numFmtId="0" fontId="28" fillId="2" borderId="45" xfId="0" applyFont="1" applyFill="1" applyBorder="1" applyAlignment="1" applyProtection="1">
      <alignment horizontal="center" vertical="center" wrapText="1"/>
      <protection hidden="1"/>
    </xf>
    <xf numFmtId="0" fontId="28" fillId="2" borderId="85" xfId="0" applyFont="1" applyFill="1" applyBorder="1" applyAlignment="1" applyProtection="1">
      <alignment horizontal="center" vertical="center" wrapText="1"/>
      <protection hidden="1"/>
    </xf>
    <xf numFmtId="166" fontId="28" fillId="2" borderId="45" xfId="3" applyNumberFormat="1" applyFont="1" applyFill="1" applyBorder="1" applyAlignment="1" applyProtection="1">
      <alignment horizontal="center" vertical="center" wrapText="1"/>
      <protection hidden="1"/>
    </xf>
    <xf numFmtId="166" fontId="28" fillId="2" borderId="85" xfId="3" applyNumberFormat="1" applyFont="1" applyFill="1" applyBorder="1" applyAlignment="1" applyProtection="1">
      <alignment horizontal="center" vertical="center" wrapText="1"/>
      <protection hidden="1"/>
    </xf>
    <xf numFmtId="0" fontId="38" fillId="2" borderId="139" xfId="0" applyFont="1" applyFill="1" applyBorder="1" applyAlignment="1" applyProtection="1">
      <alignment horizontal="center" vertical="center" wrapText="1"/>
      <protection hidden="1"/>
    </xf>
    <xf numFmtId="0" fontId="38" fillId="2" borderId="140" xfId="0" applyFont="1" applyFill="1" applyBorder="1" applyAlignment="1" applyProtection="1">
      <alignment horizontal="center" vertical="center" wrapText="1"/>
      <protection hidden="1"/>
    </xf>
    <xf numFmtId="9" fontId="44" fillId="6" borderId="111" xfId="3" applyFont="1" applyFill="1" applyBorder="1" applyAlignment="1" applyProtection="1">
      <alignment horizontal="center" vertical="center"/>
      <protection locked="0"/>
    </xf>
    <xf numFmtId="9" fontId="44" fillId="6" borderId="112" xfId="3" applyFont="1" applyFill="1" applyBorder="1" applyAlignment="1" applyProtection="1">
      <alignment horizontal="center" vertical="center"/>
      <protection locked="0"/>
    </xf>
    <xf numFmtId="166" fontId="28" fillId="2" borderId="45" xfId="0" applyNumberFormat="1" applyFont="1" applyFill="1" applyBorder="1" applyAlignment="1" applyProtection="1">
      <alignment horizontal="center" vertical="center" wrapText="1"/>
      <protection hidden="1"/>
    </xf>
    <xf numFmtId="166" fontId="28" fillId="2" borderId="85" xfId="0" applyNumberFormat="1" applyFont="1" applyFill="1" applyBorder="1" applyAlignment="1" applyProtection="1">
      <alignment horizontal="center" vertical="center" wrapText="1"/>
      <protection hidden="1"/>
    </xf>
    <xf numFmtId="0" fontId="38" fillId="2" borderId="113" xfId="0" applyFont="1" applyFill="1" applyBorder="1" applyAlignment="1" applyProtection="1">
      <alignment horizontal="center" vertical="center" wrapText="1"/>
      <protection hidden="1"/>
    </xf>
    <xf numFmtId="0" fontId="38" fillId="2" borderId="114" xfId="0" applyFont="1" applyFill="1" applyBorder="1" applyAlignment="1" applyProtection="1">
      <alignment horizontal="center" vertical="center" wrapText="1"/>
      <protection hidden="1"/>
    </xf>
    <xf numFmtId="0" fontId="38" fillId="2" borderId="0" xfId="0" applyFont="1" applyFill="1" applyAlignment="1" applyProtection="1">
      <alignment horizontal="left" vertical="center" wrapText="1" indent="1"/>
      <protection hidden="1"/>
    </xf>
    <xf numFmtId="0" fontId="28" fillId="2" borderId="77" xfId="0" applyFont="1" applyFill="1" applyBorder="1" applyAlignment="1" applyProtection="1">
      <alignment horizontal="center" vertical="center" wrapText="1"/>
      <protection hidden="1"/>
    </xf>
    <xf numFmtId="1" fontId="28" fillId="2" borderId="61" xfId="0" applyNumberFormat="1" applyFont="1" applyFill="1" applyBorder="1" applyAlignment="1" applyProtection="1">
      <alignment horizontal="center" vertical="center" wrapText="1"/>
      <protection hidden="1"/>
    </xf>
    <xf numFmtId="0" fontId="41" fillId="0" borderId="119" xfId="0" applyFont="1" applyBorder="1" applyAlignment="1" applyProtection="1">
      <alignment horizontal="center" vertical="center" wrapText="1"/>
      <protection hidden="1"/>
    </xf>
    <xf numFmtId="0" fontId="41" fillId="0" borderId="120" xfId="0" applyFont="1" applyBorder="1" applyAlignment="1" applyProtection="1">
      <alignment horizontal="center" vertical="center" wrapText="1"/>
      <protection hidden="1"/>
    </xf>
    <xf numFmtId="0" fontId="41" fillId="0" borderId="121" xfId="0" applyFont="1" applyBorder="1" applyAlignment="1" applyProtection="1">
      <alignment horizontal="center" vertical="center" wrapText="1"/>
      <protection hidden="1"/>
    </xf>
    <xf numFmtId="0" fontId="41" fillId="0" borderId="60" xfId="0" applyFont="1" applyBorder="1" applyAlignment="1" applyProtection="1">
      <alignment horizontal="center" vertical="center" wrapText="1"/>
      <protection hidden="1"/>
    </xf>
    <xf numFmtId="9" fontId="46" fillId="0" borderId="168" xfId="3" applyFont="1" applyFill="1" applyBorder="1" applyAlignment="1" applyProtection="1">
      <alignment horizontal="center" vertical="center" wrapText="1"/>
      <protection hidden="1"/>
    </xf>
    <xf numFmtId="9" fontId="46" fillId="0" borderId="170" xfId="3" applyFont="1" applyFill="1" applyBorder="1" applyAlignment="1" applyProtection="1">
      <alignment horizontal="center" vertical="center" wrapText="1"/>
      <protection hidden="1"/>
    </xf>
    <xf numFmtId="0" fontId="34" fillId="0" borderId="61" xfId="0" applyFont="1" applyBorder="1" applyAlignment="1" applyProtection="1">
      <alignment horizontal="center" vertical="center" wrapText="1"/>
      <protection hidden="1"/>
    </xf>
    <xf numFmtId="0" fontId="41" fillId="2" borderId="61" xfId="0" applyFont="1" applyFill="1" applyBorder="1" applyAlignment="1" applyProtection="1">
      <alignment horizontal="center" vertical="center" wrapText="1"/>
      <protection hidden="1"/>
    </xf>
    <xf numFmtId="0" fontId="41" fillId="0" borderId="122" xfId="0" applyFont="1" applyBorder="1" applyAlignment="1" applyProtection="1">
      <alignment horizontal="center" vertical="center" wrapText="1"/>
      <protection hidden="1"/>
    </xf>
    <xf numFmtId="0" fontId="41" fillId="0" borderId="125" xfId="0" applyFont="1" applyBorder="1" applyAlignment="1" applyProtection="1">
      <alignment horizontal="center" vertical="center" wrapText="1"/>
      <protection hidden="1"/>
    </xf>
    <xf numFmtId="0" fontId="41" fillId="0" borderId="111" xfId="0" applyFont="1" applyBorder="1" applyAlignment="1" applyProtection="1">
      <alignment horizontal="center" vertical="center" wrapText="1"/>
      <protection hidden="1"/>
    </xf>
    <xf numFmtId="0" fontId="41" fillId="0" borderId="112" xfId="0" applyFont="1" applyBorder="1" applyAlignment="1" applyProtection="1">
      <alignment horizontal="center" vertical="center" wrapText="1"/>
      <protection hidden="1"/>
    </xf>
    <xf numFmtId="0" fontId="38" fillId="2" borderId="175" xfId="0" applyFont="1" applyFill="1" applyBorder="1" applyAlignment="1" applyProtection="1">
      <alignment horizontal="center" vertical="center" wrapText="1"/>
      <protection hidden="1"/>
    </xf>
    <xf numFmtId="1" fontId="38" fillId="0" borderId="144" xfId="0" applyNumberFormat="1" applyFont="1" applyBorder="1" applyAlignment="1" applyProtection="1">
      <alignment horizontal="center" vertical="center" wrapText="1"/>
      <protection hidden="1"/>
    </xf>
    <xf numFmtId="1" fontId="38" fillId="0" borderId="176" xfId="0" applyNumberFormat="1" applyFont="1" applyBorder="1" applyAlignment="1" applyProtection="1">
      <alignment horizontal="center" vertical="center" wrapText="1"/>
      <protection hidden="1"/>
    </xf>
    <xf numFmtId="0" fontId="56" fillId="6" borderId="177" xfId="0" applyFont="1" applyFill="1" applyBorder="1" applyAlignment="1" applyProtection="1">
      <alignment horizontal="center" vertical="center" wrapText="1"/>
      <protection locked="0"/>
    </xf>
    <xf numFmtId="9" fontId="41" fillId="0" borderId="125" xfId="3" applyFont="1" applyBorder="1" applyAlignment="1" applyProtection="1">
      <alignment horizontal="center" vertical="center" wrapText="1"/>
      <protection hidden="1"/>
    </xf>
    <xf numFmtId="9" fontId="41" fillId="0" borderId="120" xfId="3" applyFont="1" applyBorder="1" applyAlignment="1" applyProtection="1">
      <alignment horizontal="center" vertical="center" wrapText="1"/>
      <protection hidden="1"/>
    </xf>
    <xf numFmtId="166" fontId="38" fillId="2" borderId="45" xfId="0" applyNumberFormat="1" applyFont="1" applyFill="1" applyBorder="1" applyAlignment="1" applyProtection="1">
      <alignment horizontal="center" vertical="center" wrapText="1"/>
      <protection hidden="1"/>
    </xf>
    <xf numFmtId="166" fontId="38" fillId="2" borderId="77" xfId="0" applyNumberFormat="1" applyFont="1" applyFill="1" applyBorder="1" applyAlignment="1" applyProtection="1">
      <alignment horizontal="center" vertical="center" wrapText="1"/>
      <protection hidden="1"/>
    </xf>
    <xf numFmtId="166" fontId="38" fillId="2" borderId="85" xfId="0" applyNumberFormat="1" applyFont="1" applyFill="1" applyBorder="1" applyAlignment="1" applyProtection="1">
      <alignment horizontal="center" vertical="center" wrapText="1"/>
      <protection hidden="1"/>
    </xf>
    <xf numFmtId="0" fontId="32" fillId="2" borderId="86" xfId="0" applyFont="1" applyFill="1" applyBorder="1" applyAlignment="1" applyProtection="1">
      <alignment horizontal="center" vertical="center"/>
      <protection hidden="1"/>
    </xf>
    <xf numFmtId="0" fontId="32" fillId="2" borderId="87" xfId="0" applyFont="1" applyFill="1" applyBorder="1" applyAlignment="1" applyProtection="1">
      <alignment horizontal="center" vertical="center"/>
      <protection hidden="1"/>
    </xf>
    <xf numFmtId="0" fontId="32" fillId="2" borderId="88" xfId="0" applyFont="1" applyFill="1" applyBorder="1" applyAlignment="1" applyProtection="1">
      <alignment horizontal="center" vertical="center"/>
      <protection hidden="1"/>
    </xf>
    <xf numFmtId="0" fontId="32" fillId="2" borderId="79" xfId="0" applyFont="1" applyFill="1" applyBorder="1" applyAlignment="1" applyProtection="1">
      <alignment horizontal="center" vertical="top"/>
      <protection hidden="1"/>
    </xf>
    <xf numFmtId="0" fontId="32" fillId="2" borderId="80" xfId="0" applyFont="1" applyFill="1" applyBorder="1" applyAlignment="1" applyProtection="1">
      <alignment horizontal="center" vertical="top"/>
      <protection hidden="1"/>
    </xf>
    <xf numFmtId="0" fontId="32" fillId="2" borderId="81" xfId="0" applyFont="1" applyFill="1" applyBorder="1" applyAlignment="1" applyProtection="1">
      <alignment horizontal="center" vertical="top"/>
      <protection hidden="1"/>
    </xf>
    <xf numFmtId="0" fontId="38" fillId="2" borderId="48" xfId="0" applyFont="1" applyFill="1" applyBorder="1" applyAlignment="1" applyProtection="1">
      <alignment horizontal="center" vertical="center" wrapText="1"/>
      <protection hidden="1"/>
    </xf>
    <xf numFmtId="0" fontId="38" fillId="2" borderId="126" xfId="0" applyFont="1" applyFill="1" applyBorder="1" applyAlignment="1" applyProtection="1">
      <alignment horizontal="center" vertical="center" wrapText="1"/>
      <protection hidden="1"/>
    </xf>
    <xf numFmtId="0" fontId="38" fillId="2" borderId="127" xfId="0" applyFont="1" applyFill="1" applyBorder="1" applyAlignment="1" applyProtection="1">
      <alignment horizontal="center" vertical="center" wrapText="1"/>
      <protection hidden="1"/>
    </xf>
    <xf numFmtId="0" fontId="38" fillId="2" borderId="47" xfId="0" applyFont="1" applyFill="1" applyBorder="1" applyAlignment="1" applyProtection="1">
      <alignment horizontal="center" vertical="center" wrapText="1"/>
      <protection hidden="1"/>
    </xf>
    <xf numFmtId="0" fontId="38" fillId="2" borderId="128" xfId="0" applyFont="1" applyFill="1" applyBorder="1" applyAlignment="1" applyProtection="1">
      <alignment horizontal="center" vertical="center" wrapText="1"/>
      <protection hidden="1"/>
    </xf>
    <xf numFmtId="0" fontId="38" fillId="2" borderId="129" xfId="0" applyFont="1" applyFill="1" applyBorder="1" applyAlignment="1" applyProtection="1">
      <alignment horizontal="center" vertical="center" wrapText="1"/>
      <protection hidden="1"/>
    </xf>
    <xf numFmtId="1" fontId="45" fillId="6" borderId="46" xfId="0" applyNumberFormat="1" applyFont="1" applyFill="1" applyBorder="1" applyAlignment="1" applyProtection="1">
      <alignment horizontal="center" vertical="center" wrapText="1"/>
      <protection locked="0"/>
    </xf>
    <xf numFmtId="1" fontId="45" fillId="6" borderId="49" xfId="0" applyNumberFormat="1" applyFont="1" applyFill="1" applyBorder="1" applyAlignment="1" applyProtection="1">
      <alignment horizontal="center" vertical="center" wrapText="1"/>
      <protection locked="0"/>
    </xf>
    <xf numFmtId="1" fontId="45" fillId="6" borderId="51" xfId="0" applyNumberFormat="1" applyFont="1" applyFill="1" applyBorder="1" applyAlignment="1" applyProtection="1">
      <alignment horizontal="center" vertical="center" wrapText="1"/>
      <protection locked="0"/>
    </xf>
    <xf numFmtId="0" fontId="28" fillId="2" borderId="46" xfId="0" applyFont="1" applyFill="1" applyBorder="1" applyAlignment="1" applyProtection="1">
      <alignment horizontal="center" vertical="top" wrapText="1"/>
      <protection hidden="1"/>
    </xf>
    <xf numFmtId="0" fontId="28" fillId="2" borderId="49" xfId="0" applyFont="1" applyFill="1" applyBorder="1" applyAlignment="1" applyProtection="1">
      <alignment horizontal="center" vertical="top" wrapText="1"/>
      <protection hidden="1"/>
    </xf>
    <xf numFmtId="0" fontId="28" fillId="2" borderId="51" xfId="0" applyFont="1" applyFill="1" applyBorder="1" applyAlignment="1" applyProtection="1">
      <alignment horizontal="center" vertical="top" wrapText="1"/>
      <protection hidden="1"/>
    </xf>
    <xf numFmtId="0" fontId="32" fillId="2" borderId="53" xfId="0" applyFont="1" applyFill="1" applyBorder="1" applyAlignment="1" applyProtection="1">
      <alignment horizontal="center" vertical="top"/>
      <protection hidden="1"/>
    </xf>
    <xf numFmtId="9" fontId="31" fillId="6" borderId="61" xfId="3" applyFont="1" applyFill="1" applyBorder="1" applyAlignment="1" applyProtection="1">
      <alignment horizontal="center" vertical="center" wrapText="1"/>
      <protection locked="0"/>
    </xf>
    <xf numFmtId="0" fontId="28" fillId="2" borderId="0" xfId="0" applyFont="1" applyFill="1" applyAlignment="1" applyProtection="1">
      <alignment horizontal="left" vertical="top" wrapText="1"/>
      <protection hidden="1"/>
    </xf>
    <xf numFmtId="0" fontId="32" fillId="2" borderId="104" xfId="0" applyFont="1" applyFill="1" applyBorder="1" applyAlignment="1" applyProtection="1">
      <alignment horizontal="center" vertical="center" wrapText="1"/>
      <protection hidden="1"/>
    </xf>
    <xf numFmtId="0" fontId="32" fillId="2" borderId="86" xfId="0" applyFont="1" applyFill="1" applyBorder="1" applyAlignment="1" applyProtection="1">
      <alignment horizontal="center" vertical="center" wrapText="1"/>
      <protection hidden="1"/>
    </xf>
    <xf numFmtId="0" fontId="32" fillId="2" borderId="87" xfId="0" applyFont="1" applyFill="1" applyBorder="1" applyAlignment="1" applyProtection="1">
      <alignment horizontal="center" vertical="center" wrapText="1"/>
      <protection hidden="1"/>
    </xf>
    <xf numFmtId="0" fontId="32" fillId="2" borderId="88" xfId="0" applyFont="1" applyFill="1" applyBorder="1" applyAlignment="1" applyProtection="1">
      <alignment horizontal="center" vertical="center" wrapText="1"/>
      <protection hidden="1"/>
    </xf>
    <xf numFmtId="0" fontId="38" fillId="2" borderId="46" xfId="0" applyFont="1" applyFill="1" applyBorder="1" applyAlignment="1" applyProtection="1">
      <alignment horizontal="center" vertical="center" wrapText="1"/>
      <protection hidden="1"/>
    </xf>
    <xf numFmtId="0" fontId="38" fillId="2" borderId="49" xfId="0" applyFont="1" applyFill="1" applyBorder="1" applyAlignment="1" applyProtection="1">
      <alignment horizontal="center" vertical="center" wrapText="1"/>
      <protection hidden="1"/>
    </xf>
    <xf numFmtId="0" fontId="38" fillId="2" borderId="51" xfId="0" applyFont="1" applyFill="1" applyBorder="1" applyAlignment="1" applyProtection="1">
      <alignment horizontal="center" vertical="center" wrapText="1"/>
      <protection hidden="1"/>
    </xf>
    <xf numFmtId="166" fontId="38" fillId="2" borderId="46" xfId="0" applyNumberFormat="1" applyFont="1" applyFill="1" applyBorder="1" applyAlignment="1" applyProtection="1">
      <alignment horizontal="center" vertical="center" wrapText="1"/>
      <protection hidden="1"/>
    </xf>
    <xf numFmtId="166" fontId="38" fillId="2" borderId="49" xfId="0" applyNumberFormat="1" applyFont="1" applyFill="1" applyBorder="1" applyAlignment="1" applyProtection="1">
      <alignment horizontal="center" vertical="center" wrapText="1"/>
      <protection hidden="1"/>
    </xf>
    <xf numFmtId="166" fontId="38" fillId="2" borderId="51" xfId="0" applyNumberFormat="1" applyFont="1" applyFill="1" applyBorder="1" applyAlignment="1" applyProtection="1">
      <alignment horizontal="center" vertical="center" wrapText="1"/>
      <protection hidden="1"/>
    </xf>
    <xf numFmtId="0" fontId="66" fillId="2" borderId="0" xfId="0" applyFont="1" applyFill="1" applyAlignment="1" applyProtection="1">
      <alignment horizontal="left" vertical="center" wrapText="1"/>
      <protection hidden="1"/>
    </xf>
    <xf numFmtId="0" fontId="32" fillId="0" borderId="95" xfId="0" applyFont="1" applyBorder="1" applyAlignment="1" applyProtection="1">
      <alignment horizontal="center" vertical="center" wrapText="1"/>
      <protection hidden="1"/>
    </xf>
    <xf numFmtId="0" fontId="32" fillId="0" borderId="69" xfId="0" applyFont="1" applyBorder="1" applyAlignment="1" applyProtection="1">
      <alignment horizontal="center" vertical="center" wrapText="1"/>
      <protection hidden="1"/>
    </xf>
    <xf numFmtId="0" fontId="32" fillId="0" borderId="96" xfId="0" applyFont="1" applyBorder="1" applyAlignment="1" applyProtection="1">
      <alignment horizontal="center" vertical="center" wrapText="1"/>
      <protection hidden="1"/>
    </xf>
    <xf numFmtId="0" fontId="32" fillId="0" borderId="86" xfId="0" applyFont="1" applyBorder="1" applyAlignment="1" applyProtection="1">
      <alignment horizontal="center" vertical="center" wrapText="1"/>
      <protection hidden="1"/>
    </xf>
    <xf numFmtId="0" fontId="32" fillId="0" borderId="87" xfId="0" applyFont="1" applyBorder="1" applyAlignment="1" applyProtection="1">
      <alignment horizontal="center" vertical="center" wrapText="1"/>
      <protection hidden="1"/>
    </xf>
    <xf numFmtId="0" fontId="32" fillId="0" borderId="88" xfId="0" applyFont="1" applyBorder="1" applyAlignment="1" applyProtection="1">
      <alignment horizontal="center" vertical="center" wrapText="1"/>
      <protection hidden="1"/>
    </xf>
    <xf numFmtId="0" fontId="32" fillId="2" borderId="61" xfId="0" applyFont="1" applyFill="1" applyBorder="1" applyAlignment="1" applyProtection="1">
      <alignment horizontal="center" vertical="center" wrapText="1"/>
      <protection hidden="1"/>
    </xf>
    <xf numFmtId="0" fontId="38" fillId="2" borderId="111" xfId="0" applyFont="1" applyFill="1" applyBorder="1" applyAlignment="1" applyProtection="1">
      <alignment horizontal="center" vertical="center" wrapText="1"/>
      <protection hidden="1"/>
    </xf>
    <xf numFmtId="0" fontId="38" fillId="2" borderId="112" xfId="0" applyFont="1" applyFill="1" applyBorder="1" applyAlignment="1" applyProtection="1">
      <alignment horizontal="center" vertical="center" wrapText="1"/>
      <protection hidden="1"/>
    </xf>
    <xf numFmtId="1" fontId="38" fillId="0" borderId="61" xfId="0" applyNumberFormat="1" applyFont="1" applyBorder="1" applyAlignment="1" applyProtection="1">
      <alignment horizontal="center" vertical="center" wrapText="1"/>
      <protection hidden="1"/>
    </xf>
    <xf numFmtId="0" fontId="42" fillId="0" borderId="123" xfId="0" applyFont="1" applyBorder="1" applyAlignment="1" applyProtection="1">
      <alignment horizontal="center" vertical="center" wrapText="1"/>
      <protection hidden="1"/>
    </xf>
    <xf numFmtId="0" fontId="42" fillId="0" borderId="162" xfId="0" applyFont="1" applyBorder="1" applyAlignment="1" applyProtection="1">
      <alignment horizontal="center" vertical="center" wrapText="1"/>
      <protection hidden="1"/>
    </xf>
    <xf numFmtId="0" fontId="42" fillId="0" borderId="163" xfId="0" applyFont="1" applyBorder="1" applyAlignment="1" applyProtection="1">
      <alignment horizontal="center" vertical="center" wrapText="1"/>
      <protection hidden="1"/>
    </xf>
    <xf numFmtId="1" fontId="42" fillId="0" borderId="166" xfId="0" applyNumberFormat="1" applyFont="1" applyBorder="1" applyAlignment="1" applyProtection="1">
      <alignment horizontal="center" vertical="center" wrapText="1"/>
      <protection hidden="1"/>
    </xf>
    <xf numFmtId="1" fontId="42" fillId="0" borderId="130" xfId="0" applyNumberFormat="1" applyFont="1" applyBorder="1" applyAlignment="1" applyProtection="1">
      <alignment horizontal="center" vertical="center" wrapText="1"/>
      <protection hidden="1"/>
    </xf>
    <xf numFmtId="1" fontId="42" fillId="0" borderId="167" xfId="0" applyNumberFormat="1" applyFont="1" applyBorder="1" applyAlignment="1" applyProtection="1">
      <alignment horizontal="center" vertical="center" wrapText="1"/>
      <protection hidden="1"/>
    </xf>
    <xf numFmtId="1" fontId="42" fillId="0" borderId="112" xfId="0" applyNumberFormat="1" applyFont="1" applyBorder="1" applyAlignment="1" applyProtection="1">
      <alignment horizontal="center" vertical="center" wrapText="1"/>
      <protection hidden="1"/>
    </xf>
    <xf numFmtId="0" fontId="42" fillId="0" borderId="53" xfId="0" applyFont="1" applyBorder="1" applyAlignment="1" applyProtection="1">
      <alignment horizontal="center" vertical="center" wrapText="1"/>
      <protection hidden="1"/>
    </xf>
    <xf numFmtId="9" fontId="28" fillId="2" borderId="161" xfId="3" applyFont="1" applyFill="1" applyBorder="1" applyAlignment="1" applyProtection="1">
      <alignment horizontal="center" vertical="center" wrapText="1"/>
      <protection hidden="1"/>
    </xf>
    <xf numFmtId="9" fontId="28" fillId="2" borderId="108" xfId="3" applyFont="1" applyFill="1" applyBorder="1" applyAlignment="1" applyProtection="1">
      <alignment horizontal="center" vertical="center" wrapText="1"/>
      <protection hidden="1"/>
    </xf>
    <xf numFmtId="0" fontId="44" fillId="6" borderId="111" xfId="0" applyFont="1" applyFill="1" applyBorder="1" applyAlignment="1" applyProtection="1">
      <alignment horizontal="center" vertical="center"/>
      <protection locked="0"/>
    </xf>
    <xf numFmtId="0" fontId="44" fillId="6" borderId="112" xfId="0" applyFont="1" applyFill="1" applyBorder="1" applyAlignment="1" applyProtection="1">
      <alignment horizontal="center" vertical="center"/>
      <protection locked="0"/>
    </xf>
    <xf numFmtId="9" fontId="28" fillId="2" borderId="61" xfId="3" applyFont="1" applyFill="1" applyBorder="1" applyAlignment="1" applyProtection="1">
      <alignment horizontal="center" vertical="center" wrapText="1"/>
      <protection hidden="1"/>
    </xf>
    <xf numFmtId="0" fontId="32" fillId="2" borderId="131" xfId="0" applyFont="1" applyFill="1" applyBorder="1" applyAlignment="1" applyProtection="1">
      <alignment horizontal="center" vertical="center"/>
      <protection hidden="1"/>
    </xf>
    <xf numFmtId="0" fontId="32" fillId="2" borderId="132" xfId="0" applyFont="1" applyFill="1" applyBorder="1" applyAlignment="1" applyProtection="1">
      <alignment horizontal="center" vertical="center"/>
      <protection hidden="1"/>
    </xf>
    <xf numFmtId="0" fontId="32" fillId="2" borderId="133" xfId="0" applyFont="1" applyFill="1" applyBorder="1" applyAlignment="1" applyProtection="1">
      <alignment horizontal="center" vertical="center"/>
      <protection hidden="1"/>
    </xf>
    <xf numFmtId="9" fontId="28" fillId="2" borderId="111" xfId="3" applyFont="1" applyFill="1" applyBorder="1" applyAlignment="1" applyProtection="1">
      <alignment horizontal="center" vertical="center" wrapText="1"/>
      <protection hidden="1"/>
    </xf>
    <xf numFmtId="9" fontId="28" fillId="2" borderId="112" xfId="3" applyFont="1" applyFill="1" applyBorder="1" applyAlignment="1" applyProtection="1">
      <alignment horizontal="center" vertical="center" wrapText="1"/>
      <protection hidden="1"/>
    </xf>
    <xf numFmtId="0" fontId="28" fillId="2" borderId="75" xfId="0" applyFont="1" applyFill="1" applyBorder="1" applyAlignment="1" applyProtection="1">
      <alignment horizontal="center" vertical="center" wrapText="1"/>
      <protection hidden="1"/>
    </xf>
    <xf numFmtId="0" fontId="28" fillId="2" borderId="92" xfId="0" applyFont="1" applyFill="1" applyBorder="1" applyAlignment="1" applyProtection="1">
      <alignment horizontal="center" vertical="center" wrapText="1"/>
      <protection hidden="1"/>
    </xf>
    <xf numFmtId="0" fontId="28" fillId="2" borderId="93" xfId="0" applyFont="1" applyFill="1" applyBorder="1" applyAlignment="1" applyProtection="1">
      <alignment horizontal="center" vertical="center" wrapText="1"/>
      <protection hidden="1"/>
    </xf>
    <xf numFmtId="0" fontId="32" fillId="2" borderId="111" xfId="0" applyFont="1" applyFill="1" applyBorder="1" applyAlignment="1" applyProtection="1">
      <alignment horizontal="center" vertical="center" wrapText="1"/>
      <protection hidden="1"/>
    </xf>
    <xf numFmtId="0" fontId="32" fillId="2" borderId="112" xfId="0" applyFont="1" applyFill="1" applyBorder="1" applyAlignment="1" applyProtection="1">
      <alignment horizontal="center" vertical="center" wrapText="1"/>
      <protection hidden="1"/>
    </xf>
    <xf numFmtId="0" fontId="31" fillId="6" borderId="134" xfId="0" applyFont="1" applyFill="1" applyBorder="1" applyAlignment="1" applyProtection="1">
      <alignment horizontal="center" vertical="center" wrapText="1"/>
      <protection locked="0"/>
    </xf>
    <xf numFmtId="0" fontId="31" fillId="6" borderId="135" xfId="0" applyFont="1" applyFill="1" applyBorder="1" applyAlignment="1" applyProtection="1">
      <alignment horizontal="center" vertical="center" wrapText="1"/>
      <protection locked="0"/>
    </xf>
    <xf numFmtId="0" fontId="31" fillId="6" borderId="109" xfId="0" applyFont="1" applyFill="1" applyBorder="1" applyAlignment="1" applyProtection="1">
      <alignment horizontal="center" vertical="center" wrapText="1"/>
      <protection locked="0"/>
    </xf>
    <xf numFmtId="0" fontId="31" fillId="6" borderId="110" xfId="0" applyFont="1" applyFill="1" applyBorder="1" applyAlignment="1" applyProtection="1">
      <alignment horizontal="center" vertical="center" wrapText="1"/>
      <protection locked="0"/>
    </xf>
    <xf numFmtId="0" fontId="31" fillId="6" borderId="115" xfId="0" applyFont="1" applyFill="1" applyBorder="1" applyAlignment="1" applyProtection="1">
      <alignment horizontal="center" vertical="center" wrapText="1"/>
      <protection locked="0"/>
    </xf>
    <xf numFmtId="0" fontId="31" fillId="6" borderId="116" xfId="0" applyFont="1" applyFill="1" applyBorder="1" applyAlignment="1" applyProtection="1">
      <alignment horizontal="center" vertical="center" wrapText="1"/>
      <protection locked="0"/>
    </xf>
    <xf numFmtId="9" fontId="45" fillId="6" borderId="61" xfId="3" applyFont="1" applyFill="1" applyBorder="1" applyAlignment="1" applyProtection="1">
      <alignment horizontal="center" vertical="center"/>
      <protection locked="0"/>
    </xf>
    <xf numFmtId="9" fontId="41" fillId="0" borderId="61" xfId="3" applyFont="1" applyBorder="1" applyAlignment="1" applyProtection="1">
      <alignment horizontal="center" vertical="center" wrapText="1"/>
      <protection hidden="1"/>
    </xf>
    <xf numFmtId="0" fontId="28" fillId="2" borderId="79" xfId="0" applyFont="1" applyFill="1" applyBorder="1" applyAlignment="1" applyProtection="1">
      <alignment horizontal="center" vertical="center" wrapText="1"/>
      <protection hidden="1"/>
    </xf>
    <xf numFmtId="0" fontId="28" fillId="2" borderId="80" xfId="0" applyFont="1" applyFill="1" applyBorder="1" applyAlignment="1" applyProtection="1">
      <alignment horizontal="center" vertical="center" wrapText="1"/>
      <protection hidden="1"/>
    </xf>
    <xf numFmtId="0" fontId="28" fillId="2" borderId="81" xfId="0" applyFont="1" applyFill="1" applyBorder="1" applyAlignment="1" applyProtection="1">
      <alignment horizontal="center" vertical="center" wrapText="1"/>
      <protection hidden="1"/>
    </xf>
    <xf numFmtId="0" fontId="43" fillId="0" borderId="99" xfId="0" applyFont="1" applyBorder="1" applyAlignment="1" applyProtection="1">
      <alignment horizontal="center" vertical="center" wrapText="1"/>
      <protection hidden="1"/>
    </xf>
    <xf numFmtId="0" fontId="43" fillId="0" borderId="66" xfId="0" applyFont="1" applyBorder="1" applyAlignment="1" applyProtection="1">
      <alignment horizontal="center" vertical="center" wrapText="1"/>
      <protection hidden="1"/>
    </xf>
    <xf numFmtId="0" fontId="43" fillId="0" borderId="100" xfId="0" applyFont="1" applyBorder="1" applyAlignment="1" applyProtection="1">
      <alignment horizontal="center" vertical="center" wrapText="1"/>
      <protection hidden="1"/>
    </xf>
    <xf numFmtId="9" fontId="32" fillId="2" borderId="117" xfId="3" applyFont="1" applyFill="1" applyBorder="1" applyAlignment="1" applyProtection="1">
      <alignment horizontal="center" vertical="center" wrapText="1"/>
      <protection hidden="1"/>
    </xf>
    <xf numFmtId="9" fontId="32" fillId="2" borderId="108" xfId="3" applyFont="1" applyFill="1" applyBorder="1" applyAlignment="1" applyProtection="1">
      <alignment horizontal="center" vertical="center" wrapText="1"/>
      <protection hidden="1"/>
    </xf>
    <xf numFmtId="0" fontId="43" fillId="0" borderId="123" xfId="0" applyFont="1" applyBorder="1" applyAlignment="1" applyProtection="1">
      <alignment horizontal="center" vertical="center" wrapText="1"/>
      <protection hidden="1"/>
    </xf>
    <xf numFmtId="0" fontId="43" fillId="0" borderId="162" xfId="0" applyFont="1" applyBorder="1" applyAlignment="1" applyProtection="1">
      <alignment horizontal="center" vertical="center" wrapText="1"/>
      <protection hidden="1"/>
    </xf>
    <xf numFmtId="0" fontId="43" fillId="0" borderId="163" xfId="0" applyFont="1" applyBorder="1" applyAlignment="1" applyProtection="1">
      <alignment horizontal="center" vertical="center" wrapText="1"/>
      <protection hidden="1"/>
    </xf>
    <xf numFmtId="1" fontId="43" fillId="0" borderId="166" xfId="0" applyNumberFormat="1" applyFont="1" applyBorder="1" applyAlignment="1" applyProtection="1">
      <alignment horizontal="center" vertical="center" wrapText="1"/>
      <protection hidden="1"/>
    </xf>
    <xf numFmtId="1" fontId="43" fillId="0" borderId="130" xfId="0" applyNumberFormat="1" applyFont="1" applyBorder="1" applyAlignment="1" applyProtection="1">
      <alignment horizontal="center" vertical="center" wrapText="1"/>
      <protection hidden="1"/>
    </xf>
    <xf numFmtId="1" fontId="43" fillId="0" borderId="167" xfId="0" applyNumberFormat="1" applyFont="1" applyBorder="1" applyAlignment="1" applyProtection="1">
      <alignment horizontal="center" vertical="center" wrapText="1"/>
      <protection hidden="1"/>
    </xf>
    <xf numFmtId="1" fontId="43" fillId="0" borderId="112" xfId="0" applyNumberFormat="1" applyFont="1" applyBorder="1" applyAlignment="1" applyProtection="1">
      <alignment horizontal="center" vertical="center" wrapText="1"/>
      <protection hidden="1"/>
    </xf>
    <xf numFmtId="0" fontId="38" fillId="2" borderId="72" xfId="0" applyFont="1" applyFill="1" applyBorder="1" applyAlignment="1" applyProtection="1">
      <alignment horizontal="left" vertical="center" wrapText="1" indent="1"/>
      <protection hidden="1"/>
    </xf>
    <xf numFmtId="0" fontId="38" fillId="2" borderId="136" xfId="0" applyFont="1" applyFill="1" applyBorder="1" applyAlignment="1" applyProtection="1">
      <alignment horizontal="center" vertical="center" wrapText="1"/>
      <protection hidden="1"/>
    </xf>
    <xf numFmtId="0" fontId="38" fillId="2" borderId="61" xfId="0" applyFont="1" applyFill="1" applyBorder="1" applyAlignment="1" applyProtection="1">
      <alignment horizontal="center" vertical="center" wrapText="1"/>
      <protection hidden="1"/>
    </xf>
    <xf numFmtId="0" fontId="34" fillId="0" borderId="46" xfId="0" applyFont="1" applyBorder="1" applyAlignment="1" applyProtection="1">
      <alignment horizontal="center" vertical="center" wrapText="1"/>
      <protection hidden="1"/>
    </xf>
    <xf numFmtId="0" fontId="34" fillId="0" borderId="49" xfId="0" applyFont="1" applyBorder="1" applyAlignment="1" applyProtection="1">
      <alignment horizontal="center" vertical="center" wrapText="1"/>
      <protection hidden="1"/>
    </xf>
    <xf numFmtId="0" fontId="34" fillId="0" borderId="51" xfId="0" applyFont="1" applyBorder="1" applyAlignment="1" applyProtection="1">
      <alignment horizontal="center" vertical="center" wrapText="1"/>
      <protection hidden="1"/>
    </xf>
    <xf numFmtId="0" fontId="41" fillId="0" borderId="61" xfId="0" applyFont="1" applyBorder="1" applyAlignment="1" applyProtection="1">
      <alignment horizontal="center" vertical="center" wrapText="1"/>
      <protection hidden="1"/>
    </xf>
    <xf numFmtId="0" fontId="41" fillId="0" borderId="46" xfId="0" applyFont="1" applyBorder="1" applyAlignment="1" applyProtection="1">
      <alignment horizontal="center" vertical="center" wrapText="1"/>
      <protection hidden="1"/>
    </xf>
    <xf numFmtId="0" fontId="41" fillId="0" borderId="49" xfId="0" applyFont="1" applyBorder="1" applyAlignment="1" applyProtection="1">
      <alignment horizontal="center" vertical="center" wrapText="1"/>
      <protection hidden="1"/>
    </xf>
    <xf numFmtId="0" fontId="41" fillId="0" borderId="51" xfId="0" applyFont="1" applyBorder="1" applyAlignment="1" applyProtection="1">
      <alignment horizontal="center" vertical="center" wrapText="1"/>
      <protection hidden="1"/>
    </xf>
    <xf numFmtId="0" fontId="28" fillId="2" borderId="0" xfId="0" applyFont="1" applyFill="1" applyAlignment="1" applyProtection="1">
      <alignment horizontal="right" vertical="top" wrapText="1" indent="1"/>
      <protection hidden="1"/>
    </xf>
    <xf numFmtId="0" fontId="44" fillId="6" borderId="61" xfId="0" applyFont="1" applyFill="1" applyBorder="1" applyAlignment="1" applyProtection="1">
      <alignment horizontal="center" vertical="center"/>
      <protection locked="0"/>
    </xf>
    <xf numFmtId="1" fontId="33" fillId="0" borderId="17" xfId="0" applyNumberFormat="1" applyFont="1" applyBorder="1" applyAlignment="1" applyProtection="1">
      <alignment horizontal="center" vertical="center" wrapText="1"/>
      <protection hidden="1"/>
    </xf>
    <xf numFmtId="1" fontId="33" fillId="0" borderId="25" xfId="0" applyNumberFormat="1" applyFont="1" applyBorder="1" applyAlignment="1" applyProtection="1">
      <alignment horizontal="center" vertical="center" wrapText="1"/>
      <protection hidden="1"/>
    </xf>
    <xf numFmtId="1" fontId="46" fillId="0" borderId="173" xfId="0" applyNumberFormat="1" applyFont="1" applyBorder="1" applyAlignment="1" applyProtection="1">
      <alignment horizontal="center" vertical="center" wrapText="1"/>
      <protection hidden="1"/>
    </xf>
    <xf numFmtId="1" fontId="46" fillId="0" borderId="174" xfId="0" applyNumberFormat="1" applyFont="1" applyBorder="1" applyAlignment="1" applyProtection="1">
      <alignment horizontal="center" vertical="center" wrapText="1"/>
      <protection hidden="1"/>
    </xf>
    <xf numFmtId="1" fontId="33" fillId="0" borderId="168" xfId="0" applyNumberFormat="1" applyFont="1" applyBorder="1" applyAlignment="1" applyProtection="1">
      <alignment horizontal="center" vertical="center" wrapText="1"/>
      <protection hidden="1"/>
    </xf>
    <xf numFmtId="1" fontId="33" fillId="0" borderId="170" xfId="0" applyNumberFormat="1" applyFont="1" applyBorder="1" applyAlignment="1" applyProtection="1">
      <alignment horizontal="center" vertical="center" wrapText="1"/>
      <protection hidden="1"/>
    </xf>
    <xf numFmtId="1" fontId="33" fillId="0" borderId="171" xfId="0" applyNumberFormat="1" applyFont="1" applyBorder="1" applyAlignment="1" applyProtection="1">
      <alignment horizontal="center" vertical="center" wrapText="1"/>
      <protection hidden="1"/>
    </xf>
    <xf numFmtId="1" fontId="33" fillId="0" borderId="172" xfId="0" applyNumberFormat="1" applyFont="1" applyBorder="1" applyAlignment="1" applyProtection="1">
      <alignment horizontal="center" vertical="center" wrapText="1"/>
      <protection hidden="1"/>
    </xf>
    <xf numFmtId="1" fontId="46" fillId="0" borderId="168" xfId="0" applyNumberFormat="1" applyFont="1" applyBorder="1" applyAlignment="1" applyProtection="1">
      <alignment horizontal="center" vertical="center" wrapText="1"/>
      <protection hidden="1"/>
    </xf>
    <xf numFmtId="1" fontId="46" fillId="0" borderId="170" xfId="0" applyNumberFormat="1" applyFont="1" applyBorder="1" applyAlignment="1" applyProtection="1">
      <alignment horizontal="center" vertical="center" wrapText="1"/>
      <protection hidden="1"/>
    </xf>
    <xf numFmtId="0" fontId="56" fillId="6" borderId="111" xfId="0" applyFont="1" applyFill="1" applyBorder="1" applyAlignment="1" applyProtection="1">
      <alignment horizontal="center" vertical="center" wrapText="1"/>
      <protection locked="0"/>
    </xf>
    <xf numFmtId="0" fontId="56" fillId="6" borderId="130" xfId="0" applyFont="1" applyFill="1" applyBorder="1" applyAlignment="1" applyProtection="1">
      <alignment horizontal="center" vertical="center" wrapText="1"/>
      <protection locked="0"/>
    </xf>
    <xf numFmtId="0" fontId="56" fillId="6" borderId="112" xfId="0" applyFont="1" applyFill="1" applyBorder="1" applyAlignment="1" applyProtection="1">
      <alignment horizontal="center" vertical="center" wrapText="1"/>
      <protection locked="0"/>
    </xf>
    <xf numFmtId="0" fontId="38" fillId="2" borderId="143" xfId="0" applyFont="1" applyFill="1" applyBorder="1" applyAlignment="1" applyProtection="1">
      <alignment horizontal="center" vertical="center" wrapText="1"/>
      <protection hidden="1"/>
    </xf>
    <xf numFmtId="0" fontId="38" fillId="2" borderId="144" xfId="0" applyFont="1" applyFill="1" applyBorder="1" applyAlignment="1" applyProtection="1">
      <alignment horizontal="center" vertical="center" wrapText="1"/>
      <protection hidden="1"/>
    </xf>
    <xf numFmtId="0" fontId="38" fillId="2" borderId="145" xfId="0" applyFont="1" applyFill="1" applyBorder="1" applyAlignment="1" applyProtection="1">
      <alignment horizontal="center" vertical="center" wrapText="1"/>
      <protection hidden="1"/>
    </xf>
    <xf numFmtId="0" fontId="28" fillId="2" borderId="0" xfId="0" applyFont="1" applyFill="1" applyAlignment="1" applyProtection="1">
      <alignment horizontal="center" vertical="center" wrapText="1"/>
      <protection hidden="1"/>
    </xf>
    <xf numFmtId="0" fontId="41" fillId="2" borderId="146" xfId="0" applyFont="1" applyFill="1" applyBorder="1" applyAlignment="1" applyProtection="1">
      <alignment horizontal="center" vertical="center"/>
      <protection hidden="1"/>
    </xf>
    <xf numFmtId="0" fontId="41" fillId="2" borderId="147" xfId="0" applyFont="1" applyFill="1" applyBorder="1" applyAlignment="1" applyProtection="1">
      <alignment horizontal="center" vertical="center"/>
      <protection hidden="1"/>
    </xf>
    <xf numFmtId="0" fontId="41" fillId="2" borderId="148" xfId="0" applyFont="1" applyFill="1" applyBorder="1" applyAlignment="1" applyProtection="1">
      <alignment horizontal="center" vertical="center"/>
      <protection hidden="1"/>
    </xf>
    <xf numFmtId="0" fontId="41" fillId="2" borderId="149" xfId="0" applyFont="1" applyFill="1" applyBorder="1" applyAlignment="1" applyProtection="1">
      <alignment horizontal="center" vertical="center"/>
      <protection hidden="1"/>
    </xf>
    <xf numFmtId="0" fontId="41" fillId="2" borderId="150" xfId="0" applyFont="1" applyFill="1" applyBorder="1" applyAlignment="1" applyProtection="1">
      <alignment horizontal="center" vertical="center"/>
      <protection hidden="1"/>
    </xf>
    <xf numFmtId="0" fontId="41" fillId="2" borderId="151" xfId="0" applyFont="1" applyFill="1" applyBorder="1" applyAlignment="1" applyProtection="1">
      <alignment horizontal="center" vertical="center"/>
      <protection hidden="1"/>
    </xf>
    <xf numFmtId="0" fontId="41" fillId="2" borderId="152" xfId="0" applyFont="1" applyFill="1" applyBorder="1" applyAlignment="1" applyProtection="1">
      <alignment horizontal="center" vertical="center"/>
      <protection hidden="1"/>
    </xf>
    <xf numFmtId="0" fontId="41" fillId="2" borderId="153" xfId="0" applyFont="1" applyFill="1" applyBorder="1" applyAlignment="1" applyProtection="1">
      <alignment horizontal="center" vertical="center"/>
      <protection hidden="1"/>
    </xf>
    <xf numFmtId="0" fontId="34" fillId="0" borderId="48" xfId="0" applyFont="1" applyBorder="1" applyAlignment="1" applyProtection="1">
      <alignment horizontal="center" vertical="center" wrapText="1"/>
      <protection hidden="1"/>
    </xf>
    <xf numFmtId="0" fontId="34" fillId="0" borderId="126" xfId="0" applyFont="1" applyBorder="1" applyAlignment="1" applyProtection="1">
      <alignment horizontal="center" vertical="center" wrapText="1"/>
      <protection hidden="1"/>
    </xf>
    <xf numFmtId="0" fontId="34" fillId="0" borderId="127" xfId="0" applyFont="1" applyBorder="1" applyAlignment="1" applyProtection="1">
      <alignment horizontal="center" vertical="center" wrapText="1"/>
      <protection hidden="1"/>
    </xf>
    <xf numFmtId="0" fontId="38" fillId="2" borderId="141" xfId="0" applyFont="1" applyFill="1" applyBorder="1" applyAlignment="1" applyProtection="1">
      <alignment horizontal="center" vertical="center" wrapText="1"/>
      <protection hidden="1"/>
    </xf>
    <xf numFmtId="0" fontId="38" fillId="2" borderId="53" xfId="0" applyFont="1" applyFill="1" applyBorder="1" applyAlignment="1" applyProtection="1">
      <alignment horizontal="center" vertical="center" wrapText="1"/>
      <protection hidden="1"/>
    </xf>
    <xf numFmtId="1" fontId="33" fillId="2" borderId="46" xfId="0" applyNumberFormat="1" applyFont="1" applyFill="1" applyBorder="1" applyAlignment="1" applyProtection="1">
      <alignment horizontal="center" vertical="center" wrapText="1"/>
      <protection hidden="1"/>
    </xf>
    <xf numFmtId="1" fontId="33" fillId="2" borderId="49" xfId="0" applyNumberFormat="1" applyFont="1" applyFill="1" applyBorder="1" applyAlignment="1" applyProtection="1">
      <alignment horizontal="center" vertical="center" wrapText="1"/>
      <protection hidden="1"/>
    </xf>
    <xf numFmtId="1" fontId="33" fillId="2" borderId="51" xfId="0" applyNumberFormat="1" applyFont="1" applyFill="1" applyBorder="1" applyAlignment="1" applyProtection="1">
      <alignment horizontal="center" vertical="center" wrapText="1"/>
      <protection hidden="1"/>
    </xf>
    <xf numFmtId="0" fontId="38" fillId="2" borderId="69" xfId="0" applyFont="1" applyFill="1" applyBorder="1" applyAlignment="1" applyProtection="1">
      <alignment horizontal="center" vertical="center" wrapText="1"/>
      <protection hidden="1"/>
    </xf>
    <xf numFmtId="3" fontId="38" fillId="2" borderId="61" xfId="0" applyNumberFormat="1" applyFont="1" applyFill="1" applyBorder="1" applyAlignment="1" applyProtection="1">
      <alignment horizontal="center" vertical="center" wrapText="1"/>
      <protection hidden="1"/>
    </xf>
    <xf numFmtId="166" fontId="38" fillId="2" borderId="46" xfId="3" applyNumberFormat="1" applyFont="1" applyFill="1" applyBorder="1" applyAlignment="1" applyProtection="1">
      <alignment horizontal="center" vertical="center" wrapText="1"/>
      <protection hidden="1"/>
    </xf>
    <xf numFmtId="166" fontId="38" fillId="2" borderId="49" xfId="3" applyNumberFormat="1" applyFont="1" applyFill="1" applyBorder="1" applyAlignment="1" applyProtection="1">
      <alignment horizontal="center" vertical="center" wrapText="1"/>
      <protection hidden="1"/>
    </xf>
    <xf numFmtId="166" fontId="38" fillId="2" borderId="51" xfId="3" applyNumberFormat="1" applyFont="1" applyFill="1" applyBorder="1" applyAlignment="1" applyProtection="1">
      <alignment horizontal="center" vertical="center" wrapText="1"/>
      <protection hidden="1"/>
    </xf>
    <xf numFmtId="9" fontId="56" fillId="6" borderId="61" xfId="3" applyFont="1" applyFill="1" applyBorder="1" applyAlignment="1" applyProtection="1">
      <alignment horizontal="center" vertical="center" wrapText="1"/>
      <protection locked="0"/>
    </xf>
    <xf numFmtId="0" fontId="32" fillId="0" borderId="111" xfId="0" applyFont="1" applyBorder="1" applyAlignment="1" applyProtection="1">
      <alignment horizontal="center" vertical="center" wrapText="1"/>
      <protection hidden="1"/>
    </xf>
    <xf numFmtId="0" fontId="32" fillId="0" borderId="112" xfId="0" applyFont="1" applyBorder="1" applyAlignment="1" applyProtection="1">
      <alignment horizontal="center" vertical="center" wrapText="1"/>
      <protection hidden="1"/>
    </xf>
    <xf numFmtId="0" fontId="38" fillId="2" borderId="142" xfId="0" applyFont="1" applyFill="1" applyBorder="1" applyAlignment="1" applyProtection="1">
      <alignment horizontal="center" vertical="center" wrapText="1"/>
      <protection hidden="1"/>
    </xf>
    <xf numFmtId="10" fontId="28" fillId="2" borderId="0" xfId="0" applyNumberFormat="1" applyFont="1" applyFill="1" applyAlignment="1" applyProtection="1">
      <alignment horizontal="center" vertical="center" wrapText="1"/>
      <protection hidden="1"/>
    </xf>
    <xf numFmtId="0" fontId="41" fillId="2" borderId="139" xfId="0" applyFont="1" applyFill="1" applyBorder="1" applyAlignment="1" applyProtection="1">
      <alignment horizontal="center" vertical="center" wrapText="1"/>
      <protection hidden="1"/>
    </xf>
    <xf numFmtId="1" fontId="41" fillId="0" borderId="122" xfId="0" applyNumberFormat="1" applyFont="1" applyBorder="1" applyAlignment="1" applyProtection="1">
      <alignment horizontal="center" vertical="center" wrapText="1"/>
      <protection hidden="1"/>
    </xf>
    <xf numFmtId="1" fontId="41" fillId="0" borderId="154" xfId="0" applyNumberFormat="1" applyFont="1" applyBorder="1" applyAlignment="1" applyProtection="1">
      <alignment horizontal="center" vertical="center" wrapText="1"/>
      <protection hidden="1"/>
    </xf>
    <xf numFmtId="1" fontId="41" fillId="0" borderId="155" xfId="0" applyNumberFormat="1" applyFont="1" applyBorder="1" applyAlignment="1" applyProtection="1">
      <alignment horizontal="center" vertical="center" wrapText="1"/>
      <protection hidden="1"/>
    </xf>
    <xf numFmtId="1" fontId="41" fillId="0" borderId="156" xfId="0" applyNumberFormat="1" applyFont="1" applyBorder="1" applyAlignment="1" applyProtection="1">
      <alignment horizontal="center" vertical="center" wrapText="1"/>
      <protection hidden="1"/>
    </xf>
    <xf numFmtId="1" fontId="41" fillId="0" borderId="157" xfId="0" applyNumberFormat="1" applyFont="1" applyBorder="1" applyAlignment="1" applyProtection="1">
      <alignment horizontal="center" vertical="center" wrapText="1"/>
      <protection hidden="1"/>
    </xf>
    <xf numFmtId="9" fontId="41" fillId="0" borderId="158" xfId="3" applyFont="1" applyBorder="1" applyAlignment="1" applyProtection="1">
      <alignment horizontal="center" vertical="center" wrapText="1"/>
      <protection hidden="1"/>
    </xf>
    <xf numFmtId="9" fontId="41" fillId="0" borderId="124" xfId="3" applyFont="1" applyBorder="1" applyAlignment="1" applyProtection="1">
      <alignment horizontal="center" vertical="center" wrapText="1"/>
      <protection hidden="1"/>
    </xf>
    <xf numFmtId="0" fontId="38" fillId="5" borderId="61" xfId="0" applyFont="1" applyFill="1" applyBorder="1" applyAlignment="1" applyProtection="1">
      <alignment horizontal="center" vertical="center" wrapText="1"/>
      <protection hidden="1"/>
    </xf>
    <xf numFmtId="1" fontId="38" fillId="0" borderId="122" xfId="0" applyNumberFormat="1" applyFont="1" applyBorder="1" applyAlignment="1" applyProtection="1">
      <alignment horizontal="center" vertical="center" wrapText="1"/>
      <protection hidden="1"/>
    </xf>
    <xf numFmtId="1" fontId="38" fillId="0" borderId="154" xfId="0" applyNumberFormat="1" applyFont="1" applyBorder="1" applyAlignment="1" applyProtection="1">
      <alignment horizontal="center" vertical="center" wrapText="1"/>
      <protection hidden="1"/>
    </xf>
    <xf numFmtId="0" fontId="56" fillId="6" borderId="159" xfId="0" applyFont="1" applyFill="1" applyBorder="1" applyAlignment="1" applyProtection="1">
      <alignment horizontal="center" vertical="center" wrapText="1"/>
      <protection locked="0"/>
    </xf>
    <xf numFmtId="3" fontId="38" fillId="2" borderId="72" xfId="0" applyNumberFormat="1" applyFont="1" applyFill="1" applyBorder="1" applyAlignment="1" applyProtection="1">
      <alignment horizontal="right" vertical="center" indent="1"/>
      <protection hidden="1"/>
    </xf>
    <xf numFmtId="9" fontId="56" fillId="6" borderId="139" xfId="3" applyFont="1" applyFill="1" applyBorder="1" applyAlignment="1" applyProtection="1">
      <alignment horizontal="center" vertical="center"/>
      <protection locked="0"/>
    </xf>
    <xf numFmtId="0" fontId="34" fillId="0" borderId="53" xfId="0" applyFont="1" applyBorder="1" applyAlignment="1" applyProtection="1">
      <alignment horizontal="center" vertical="center" wrapText="1"/>
      <protection hidden="1"/>
    </xf>
    <xf numFmtId="9" fontId="46" fillId="0" borderId="122" xfId="3" applyFont="1" applyFill="1" applyBorder="1" applyAlignment="1" applyProtection="1">
      <alignment horizontal="center" vertical="center" wrapText="1"/>
      <protection hidden="1"/>
    </xf>
    <xf numFmtId="9" fontId="46" fillId="0" borderId="134" xfId="3" applyFont="1" applyFill="1" applyBorder="1" applyAlignment="1" applyProtection="1">
      <alignment horizontal="center" vertical="center" wrapText="1"/>
      <protection hidden="1"/>
    </xf>
    <xf numFmtId="9" fontId="46" fillId="0" borderId="178" xfId="3" applyFont="1" applyFill="1" applyBorder="1" applyAlignment="1" applyProtection="1">
      <alignment horizontal="center" vertical="center" wrapText="1"/>
      <protection hidden="1"/>
    </xf>
    <xf numFmtId="9" fontId="46" fillId="0" borderId="135" xfId="3" applyFont="1" applyFill="1" applyBorder="1" applyAlignment="1" applyProtection="1">
      <alignment horizontal="center" vertical="center" wrapText="1"/>
      <protection hidden="1"/>
    </xf>
    <xf numFmtId="0" fontId="35" fillId="5" borderId="0" xfId="0" applyFont="1" applyFill="1" applyAlignment="1" applyProtection="1">
      <alignment horizontal="center"/>
      <protection hidden="1"/>
    </xf>
    <xf numFmtId="0" fontId="32" fillId="2" borderId="45" xfId="0" applyFont="1" applyFill="1" applyBorder="1" applyAlignment="1" applyProtection="1">
      <alignment horizontal="center" vertical="top"/>
      <protection hidden="1"/>
    </xf>
    <xf numFmtId="0" fontId="32" fillId="2" borderId="77" xfId="0" applyFont="1" applyFill="1" applyBorder="1" applyAlignment="1" applyProtection="1">
      <alignment horizontal="center" vertical="top"/>
      <protection hidden="1"/>
    </xf>
    <xf numFmtId="0" fontId="32" fillId="2" borderId="85" xfId="0" applyFont="1" applyFill="1" applyBorder="1" applyAlignment="1" applyProtection="1">
      <alignment horizontal="center" vertical="top"/>
      <protection hidden="1"/>
    </xf>
    <xf numFmtId="0" fontId="41" fillId="2" borderId="148" xfId="0" applyFont="1" applyFill="1" applyBorder="1" applyAlignment="1" applyProtection="1">
      <alignment horizontal="center" vertical="center" wrapText="1"/>
      <protection hidden="1"/>
    </xf>
    <xf numFmtId="0" fontId="41" fillId="2" borderId="149" xfId="0" applyFont="1" applyFill="1" applyBorder="1" applyAlignment="1" applyProtection="1">
      <alignment horizontal="center" vertical="center" wrapText="1"/>
      <protection hidden="1"/>
    </xf>
    <xf numFmtId="0" fontId="41" fillId="2" borderId="150" xfId="0" applyFont="1" applyFill="1" applyBorder="1" applyAlignment="1" applyProtection="1">
      <alignment horizontal="center" vertical="center" wrapText="1"/>
      <protection hidden="1"/>
    </xf>
    <xf numFmtId="0" fontId="41" fillId="2" borderId="151" xfId="0" applyFont="1" applyFill="1" applyBorder="1" applyAlignment="1" applyProtection="1">
      <alignment horizontal="center" vertical="center" wrapText="1"/>
      <protection hidden="1"/>
    </xf>
    <xf numFmtId="0" fontId="41" fillId="2" borderId="152" xfId="0" applyFont="1" applyFill="1" applyBorder="1" applyAlignment="1" applyProtection="1">
      <alignment horizontal="center" vertical="center" wrapText="1"/>
      <protection hidden="1"/>
    </xf>
    <xf numFmtId="0" fontId="41" fillId="2" borderId="153" xfId="0" applyFont="1" applyFill="1" applyBorder="1" applyAlignment="1" applyProtection="1">
      <alignment horizontal="center" vertical="center" wrapText="1"/>
      <protection hidden="1"/>
    </xf>
    <xf numFmtId="1" fontId="46" fillId="0" borderId="61" xfId="0" applyNumberFormat="1" applyFont="1" applyBorder="1" applyAlignment="1" applyProtection="1">
      <alignment horizontal="center" vertical="center" wrapText="1"/>
      <protection hidden="1"/>
    </xf>
    <xf numFmtId="0" fontId="38" fillId="2" borderId="61" xfId="0" applyFont="1" applyFill="1" applyBorder="1" applyAlignment="1" applyProtection="1">
      <alignment horizontal="center" vertical="center"/>
      <protection hidden="1"/>
    </xf>
    <xf numFmtId="0" fontId="41" fillId="2" borderId="111" xfId="0" applyFont="1" applyFill="1" applyBorder="1" applyAlignment="1" applyProtection="1">
      <alignment horizontal="center" vertical="center" wrapText="1"/>
      <protection hidden="1"/>
    </xf>
    <xf numFmtId="0" fontId="41" fillId="2" borderId="112" xfId="0" applyFont="1" applyFill="1" applyBorder="1" applyAlignment="1" applyProtection="1">
      <alignment horizontal="center" vertical="center" wrapText="1"/>
      <protection hidden="1"/>
    </xf>
    <xf numFmtId="0" fontId="34" fillId="0" borderId="168" xfId="0" applyFont="1" applyBorder="1" applyAlignment="1" applyProtection="1">
      <alignment horizontal="center" vertical="center" wrapText="1"/>
      <protection hidden="1"/>
    </xf>
    <xf numFmtId="0" fontId="34" fillId="0" borderId="169" xfId="0" applyFont="1" applyBorder="1" applyAlignment="1" applyProtection="1">
      <alignment horizontal="center" vertical="center" wrapText="1"/>
      <protection hidden="1"/>
    </xf>
    <xf numFmtId="0" fontId="34" fillId="0" borderId="170" xfId="0" applyFont="1" applyBorder="1" applyAlignment="1" applyProtection="1">
      <alignment horizontal="center" vertical="center" wrapText="1"/>
      <protection hidden="1"/>
    </xf>
    <xf numFmtId="0" fontId="46" fillId="0" borderId="168" xfId="0" applyFont="1" applyBorder="1" applyAlignment="1" applyProtection="1">
      <alignment horizontal="center" vertical="center" wrapText="1"/>
      <protection hidden="1"/>
    </xf>
    <xf numFmtId="0" fontId="46" fillId="0" borderId="170" xfId="0" applyFont="1" applyBorder="1" applyAlignment="1" applyProtection="1">
      <alignment horizontal="center" vertical="center" wrapText="1"/>
      <protection hidden="1"/>
    </xf>
    <xf numFmtId="9" fontId="46" fillId="0" borderId="171" xfId="3" applyFont="1" applyFill="1" applyBorder="1" applyAlignment="1" applyProtection="1">
      <alignment horizontal="center" vertical="center" wrapText="1"/>
      <protection hidden="1"/>
    </xf>
    <xf numFmtId="9" fontId="46" fillId="0" borderId="172" xfId="3" applyFont="1" applyFill="1" applyBorder="1" applyAlignment="1" applyProtection="1">
      <alignment horizontal="center" vertical="center" wrapText="1"/>
      <protection hidden="1"/>
    </xf>
    <xf numFmtId="3" fontId="41" fillId="2" borderId="61" xfId="0" applyNumberFormat="1" applyFont="1" applyFill="1" applyBorder="1" applyAlignment="1" applyProtection="1">
      <alignment horizontal="center" vertical="center" wrapText="1"/>
      <protection hidden="1"/>
    </xf>
    <xf numFmtId="0" fontId="32" fillId="0" borderId="61" xfId="0" applyFont="1" applyBorder="1" applyAlignment="1" applyProtection="1">
      <alignment horizontal="center" vertical="center" wrapText="1"/>
      <protection hidden="1"/>
    </xf>
    <xf numFmtId="0" fontId="41" fillId="0" borderId="229" xfId="0" applyFont="1" applyBorder="1" applyAlignment="1" applyProtection="1">
      <alignment horizontal="center" vertical="center" wrapText="1"/>
      <protection hidden="1"/>
    </xf>
    <xf numFmtId="9" fontId="41" fillId="2" borderId="61" xfId="3" applyFont="1" applyFill="1" applyBorder="1" applyAlignment="1" applyProtection="1">
      <alignment horizontal="center" vertical="center" wrapText="1"/>
      <protection hidden="1"/>
    </xf>
    <xf numFmtId="1" fontId="38" fillId="2" borderId="160" xfId="0" applyNumberFormat="1" applyFont="1" applyFill="1" applyBorder="1" applyAlignment="1" applyProtection="1">
      <alignment horizontal="center" vertical="center" wrapText="1"/>
      <protection hidden="1"/>
    </xf>
    <xf numFmtId="1" fontId="38" fillId="2" borderId="45" xfId="0" applyNumberFormat="1" applyFont="1" applyFill="1" applyBorder="1" applyAlignment="1" applyProtection="1">
      <alignment horizontal="center" vertical="center" wrapText="1"/>
      <protection hidden="1"/>
    </xf>
    <xf numFmtId="1" fontId="38" fillId="2" borderId="77" xfId="0" applyNumberFormat="1" applyFont="1" applyFill="1" applyBorder="1" applyAlignment="1" applyProtection="1">
      <alignment horizontal="center" vertical="center" wrapText="1"/>
      <protection hidden="1"/>
    </xf>
    <xf numFmtId="1" fontId="38" fillId="2" borderId="85" xfId="0" applyNumberFormat="1" applyFont="1" applyFill="1" applyBorder="1" applyAlignment="1" applyProtection="1">
      <alignment horizontal="center" vertical="center" wrapText="1"/>
      <protection hidden="1"/>
    </xf>
    <xf numFmtId="1" fontId="41" fillId="2" borderId="53" xfId="0" applyNumberFormat="1" applyFont="1" applyFill="1" applyBorder="1" applyAlignment="1" applyProtection="1">
      <alignment horizontal="center" vertical="center" wrapText="1"/>
      <protection hidden="1"/>
    </xf>
    <xf numFmtId="3" fontId="38" fillId="2" borderId="72" xfId="0" applyNumberFormat="1" applyFont="1" applyFill="1" applyBorder="1" applyAlignment="1" applyProtection="1">
      <alignment horizontal="center" vertical="center" wrapText="1"/>
      <protection hidden="1"/>
    </xf>
    <xf numFmtId="0" fontId="41" fillId="2" borderId="53" xfId="0" applyFont="1" applyFill="1" applyBorder="1" applyAlignment="1" applyProtection="1">
      <alignment horizontal="center" vertical="center" wrapText="1"/>
      <protection hidden="1"/>
    </xf>
    <xf numFmtId="0" fontId="28" fillId="2" borderId="0" xfId="0" applyFont="1" applyFill="1" applyAlignment="1" applyProtection="1">
      <alignment horizontal="left" wrapText="1" indent="1"/>
      <protection hidden="1"/>
    </xf>
    <xf numFmtId="0" fontId="28" fillId="2" borderId="161" xfId="0" applyFont="1" applyFill="1" applyBorder="1" applyAlignment="1" applyProtection="1">
      <alignment horizontal="center" vertical="center" wrapText="1"/>
      <protection hidden="1"/>
    </xf>
    <xf numFmtId="0" fontId="28" fillId="2" borderId="108" xfId="0" applyFont="1" applyFill="1" applyBorder="1" applyAlignment="1" applyProtection="1">
      <alignment horizontal="center" vertical="center" wrapText="1"/>
      <protection hidden="1"/>
    </xf>
    <xf numFmtId="0" fontId="42" fillId="0" borderId="164" xfId="0" applyFont="1" applyBorder="1" applyAlignment="1" applyProtection="1">
      <alignment horizontal="center" vertical="center" wrapText="1"/>
      <protection hidden="1"/>
    </xf>
    <xf numFmtId="0" fontId="42" fillId="0" borderId="59" xfId="0" applyFont="1" applyBorder="1" applyAlignment="1" applyProtection="1">
      <alignment horizontal="center" vertical="center" wrapText="1"/>
      <protection hidden="1"/>
    </xf>
    <xf numFmtId="0" fontId="42" fillId="0" borderId="165" xfId="0" applyFont="1" applyBorder="1" applyAlignment="1" applyProtection="1">
      <alignment horizontal="center" vertical="center" wrapText="1"/>
      <protection hidden="1"/>
    </xf>
    <xf numFmtId="0" fontId="42" fillId="0" borderId="60" xfId="0" applyFont="1" applyBorder="1" applyAlignment="1" applyProtection="1">
      <alignment horizontal="center" vertical="center" wrapText="1"/>
      <protection hidden="1"/>
    </xf>
    <xf numFmtId="9" fontId="42" fillId="0" borderId="121" xfId="3" applyFont="1" applyFill="1" applyBorder="1" applyAlignment="1" applyProtection="1">
      <alignment horizontal="center" vertical="center" wrapText="1"/>
      <protection hidden="1"/>
    </xf>
    <xf numFmtId="9" fontId="42" fillId="0" borderId="59" xfId="3" applyFont="1" applyFill="1" applyBorder="1" applyAlignment="1" applyProtection="1">
      <alignment horizontal="center" vertical="center" wrapText="1"/>
      <protection hidden="1"/>
    </xf>
    <xf numFmtId="9" fontId="42" fillId="0" borderId="60" xfId="3" applyFont="1" applyFill="1" applyBorder="1" applyAlignment="1" applyProtection="1">
      <alignment horizontal="center" vertical="center" wrapText="1"/>
      <protection hidden="1"/>
    </xf>
    <xf numFmtId="0" fontId="41" fillId="2" borderId="119" xfId="0" applyFont="1" applyFill="1" applyBorder="1" applyAlignment="1" applyProtection="1">
      <alignment horizontal="center" vertical="center" wrapText="1"/>
      <protection hidden="1"/>
    </xf>
    <xf numFmtId="0" fontId="41" fillId="2" borderId="120" xfId="0" applyFont="1" applyFill="1" applyBorder="1" applyAlignment="1" applyProtection="1">
      <alignment horizontal="center" vertical="center" wrapText="1"/>
      <protection hidden="1"/>
    </xf>
    <xf numFmtId="0" fontId="41" fillId="2" borderId="121" xfId="0" applyFont="1" applyFill="1" applyBorder="1" applyAlignment="1" applyProtection="1">
      <alignment horizontal="center" vertical="center" wrapText="1"/>
      <protection hidden="1"/>
    </xf>
    <xf numFmtId="0" fontId="41" fillId="2" borderId="60" xfId="0" applyFont="1" applyFill="1" applyBorder="1" applyAlignment="1" applyProtection="1">
      <alignment horizontal="center" vertical="center" wrapText="1"/>
      <protection hidden="1"/>
    </xf>
    <xf numFmtId="9" fontId="56" fillId="6" borderId="111" xfId="3" applyFont="1" applyFill="1" applyBorder="1" applyAlignment="1" applyProtection="1">
      <alignment horizontal="center" vertical="center"/>
      <protection locked="0"/>
    </xf>
    <xf numFmtId="9" fontId="56" fillId="6" borderId="112" xfId="3" applyFont="1" applyFill="1" applyBorder="1" applyAlignment="1" applyProtection="1">
      <alignment horizontal="center" vertical="center"/>
      <protection locked="0"/>
    </xf>
    <xf numFmtId="0" fontId="41" fillId="0" borderId="130" xfId="0" applyFont="1" applyBorder="1" applyAlignment="1" applyProtection="1">
      <alignment horizontal="center" vertical="center" wrapText="1"/>
      <protection hidden="1"/>
    </xf>
    <xf numFmtId="0" fontId="32" fillId="2" borderId="79" xfId="0" applyFont="1" applyFill="1" applyBorder="1" applyAlignment="1" applyProtection="1">
      <alignment horizontal="center" vertical="center"/>
      <protection hidden="1"/>
    </xf>
    <xf numFmtId="0" fontId="32" fillId="2" borderId="80" xfId="0" applyFont="1" applyFill="1" applyBorder="1" applyAlignment="1" applyProtection="1">
      <alignment horizontal="center" vertical="center"/>
      <protection hidden="1"/>
    </xf>
    <xf numFmtId="0" fontId="32" fillId="2" borderId="81" xfId="0" applyFont="1" applyFill="1" applyBorder="1" applyAlignment="1" applyProtection="1">
      <alignment horizontal="center" vertical="center"/>
      <protection hidden="1"/>
    </xf>
    <xf numFmtId="0" fontId="46" fillId="0" borderId="122" xfId="0" applyFont="1" applyBorder="1" applyAlignment="1" applyProtection="1">
      <alignment horizontal="center" vertical="center" wrapText="1"/>
      <protection hidden="1"/>
    </xf>
    <xf numFmtId="9" fontId="38" fillId="2" borderId="46" xfId="3" applyFont="1" applyFill="1" applyBorder="1" applyAlignment="1" applyProtection="1">
      <alignment horizontal="center" vertical="center" wrapText="1"/>
      <protection hidden="1"/>
    </xf>
    <xf numFmtId="9" fontId="38" fillId="2" borderId="49" xfId="3" applyFont="1" applyFill="1" applyBorder="1" applyAlignment="1" applyProtection="1">
      <alignment horizontal="center" vertical="center" wrapText="1"/>
      <protection hidden="1"/>
    </xf>
    <xf numFmtId="9" fontId="38" fillId="2" borderId="51" xfId="3" applyFont="1" applyFill="1" applyBorder="1" applyAlignment="1" applyProtection="1">
      <alignment horizontal="center" vertical="center" wrapText="1"/>
      <protection hidden="1"/>
    </xf>
    <xf numFmtId="9" fontId="45" fillId="6" borderId="46" xfId="3" applyFont="1" applyFill="1" applyBorder="1" applyAlignment="1" applyProtection="1">
      <alignment horizontal="center" vertical="center" wrapText="1"/>
      <protection locked="0"/>
    </xf>
    <xf numFmtId="9" fontId="45" fillId="6" borderId="49" xfId="3" applyFont="1" applyFill="1" applyBorder="1" applyAlignment="1" applyProtection="1">
      <alignment horizontal="center" vertical="center" wrapText="1"/>
      <protection locked="0"/>
    </xf>
    <xf numFmtId="9" fontId="45" fillId="6" borderId="51" xfId="3" applyFont="1" applyFill="1" applyBorder="1" applyAlignment="1" applyProtection="1">
      <alignment horizontal="center" vertical="center" wrapText="1"/>
      <protection locked="0"/>
    </xf>
    <xf numFmtId="1" fontId="38" fillId="0" borderId="46" xfId="0" applyNumberFormat="1" applyFont="1" applyBorder="1" applyAlignment="1" applyProtection="1">
      <alignment horizontal="center" vertical="center" wrapText="1"/>
      <protection hidden="1"/>
    </xf>
    <xf numFmtId="1" fontId="38" fillId="0" borderId="49" xfId="0" applyNumberFormat="1" applyFont="1" applyBorder="1" applyAlignment="1" applyProtection="1">
      <alignment horizontal="center" vertical="center" wrapText="1"/>
      <protection hidden="1"/>
    </xf>
    <xf numFmtId="1" fontId="38" fillId="0" borderId="51" xfId="0" applyNumberFormat="1" applyFont="1" applyBorder="1" applyAlignment="1" applyProtection="1">
      <alignment horizontal="center" vertical="center" wrapText="1"/>
      <protection hidden="1"/>
    </xf>
    <xf numFmtId="0" fontId="41" fillId="0" borderId="53" xfId="0" applyFont="1" applyBorder="1" applyAlignment="1" applyProtection="1">
      <alignment horizontal="center" vertical="center" wrapText="1"/>
      <protection hidden="1"/>
    </xf>
    <xf numFmtId="166" fontId="67" fillId="6" borderId="61" xfId="3" applyNumberFormat="1" applyFont="1" applyFill="1" applyBorder="1" applyAlignment="1" applyProtection="1">
      <alignment horizontal="center" vertical="center"/>
      <protection locked="0"/>
    </xf>
    <xf numFmtId="9" fontId="44" fillId="6" borderId="61" xfId="3" applyFont="1" applyFill="1" applyBorder="1" applyAlignment="1" applyProtection="1">
      <alignment horizontal="center" vertical="center"/>
      <protection locked="0"/>
    </xf>
    <xf numFmtId="0" fontId="38" fillId="2" borderId="146" xfId="0" applyFont="1" applyFill="1" applyBorder="1" applyAlignment="1" applyProtection="1">
      <alignment horizontal="center" vertical="center" wrapText="1"/>
      <protection hidden="1"/>
    </xf>
    <xf numFmtId="0" fontId="38" fillId="2" borderId="179" xfId="0" applyFont="1" applyFill="1" applyBorder="1" applyAlignment="1" applyProtection="1">
      <alignment horizontal="center" vertical="center" wrapText="1"/>
      <protection hidden="1"/>
    </xf>
    <xf numFmtId="0" fontId="38" fillId="2" borderId="147" xfId="0" applyFont="1" applyFill="1" applyBorder="1" applyAlignment="1" applyProtection="1">
      <alignment horizontal="center" vertical="center" wrapText="1"/>
      <protection hidden="1"/>
    </xf>
    <xf numFmtId="0" fontId="41" fillId="2" borderId="74" xfId="0" applyFont="1" applyFill="1" applyBorder="1" applyAlignment="1" applyProtection="1">
      <alignment horizontal="center" vertical="center"/>
      <protection hidden="1"/>
    </xf>
    <xf numFmtId="0" fontId="0" fillId="24" borderId="59" xfId="0" applyFill="1" applyBorder="1" applyAlignment="1" applyProtection="1">
      <alignment horizontal="center" vertical="top"/>
      <protection hidden="1"/>
    </xf>
    <xf numFmtId="0" fontId="42" fillId="2" borderId="53" xfId="0" applyFont="1" applyFill="1" applyBorder="1" applyAlignment="1" applyProtection="1">
      <alignment horizontal="center" vertical="center" wrapText="1"/>
      <protection hidden="1"/>
    </xf>
    <xf numFmtId="166" fontId="60" fillId="5" borderId="45" xfId="3" applyNumberFormat="1" applyFont="1" applyFill="1" applyBorder="1" applyAlignment="1" applyProtection="1">
      <alignment horizontal="center" vertical="center"/>
      <protection hidden="1"/>
    </xf>
    <xf numFmtId="166" fontId="60" fillId="5" borderId="77" xfId="3" applyNumberFormat="1" applyFont="1" applyFill="1" applyBorder="1" applyAlignment="1" applyProtection="1">
      <alignment horizontal="center" vertical="center"/>
      <protection hidden="1"/>
    </xf>
    <xf numFmtId="0" fontId="54" fillId="2" borderId="74" xfId="0" applyFont="1" applyFill="1" applyBorder="1" applyAlignment="1" applyProtection="1">
      <alignment horizontal="center" vertical="center" wrapText="1"/>
      <protection hidden="1"/>
    </xf>
    <xf numFmtId="3" fontId="43" fillId="2" borderId="53" xfId="0" applyNumberFormat="1" applyFont="1" applyFill="1" applyBorder="1" applyAlignment="1" applyProtection="1">
      <alignment horizontal="center" vertical="center" wrapText="1"/>
      <protection hidden="1"/>
    </xf>
    <xf numFmtId="0" fontId="33" fillId="2" borderId="53" xfId="0" quotePrefix="1" applyFont="1" applyFill="1" applyBorder="1" applyAlignment="1" applyProtection="1">
      <alignment horizontal="left" vertical="center" wrapText="1" indent="2"/>
      <protection hidden="1"/>
    </xf>
    <xf numFmtId="3" fontId="33" fillId="2" borderId="53" xfId="0" applyNumberFormat="1" applyFont="1" applyFill="1" applyBorder="1" applyAlignment="1" applyProtection="1">
      <alignment horizontal="center" vertical="center" wrapText="1"/>
      <protection hidden="1"/>
    </xf>
    <xf numFmtId="0" fontId="33" fillId="2" borderId="53" xfId="0" quotePrefix="1" applyFont="1" applyFill="1" applyBorder="1" applyAlignment="1" applyProtection="1">
      <alignment horizontal="center" vertical="center" wrapText="1"/>
      <protection hidden="1"/>
    </xf>
    <xf numFmtId="3" fontId="33" fillId="3" borderId="29" xfId="0" applyNumberFormat="1" applyFont="1" applyFill="1" applyBorder="1" applyAlignment="1" applyProtection="1">
      <alignment horizontal="center" vertical="center" wrapText="1"/>
      <protection hidden="1"/>
    </xf>
    <xf numFmtId="3" fontId="33" fillId="3" borderId="30" xfId="0" applyNumberFormat="1" applyFont="1" applyFill="1" applyBorder="1" applyAlignment="1" applyProtection="1">
      <alignment horizontal="center" vertical="center" wrapText="1"/>
      <protection hidden="1"/>
    </xf>
    <xf numFmtId="3" fontId="33" fillId="3" borderId="34" xfId="0" applyNumberFormat="1" applyFont="1" applyFill="1" applyBorder="1" applyAlignment="1" applyProtection="1">
      <alignment horizontal="center" vertical="center" wrapText="1"/>
      <protection hidden="1"/>
    </xf>
    <xf numFmtId="0" fontId="48" fillId="3" borderId="3" xfId="0" quotePrefix="1" applyFont="1" applyFill="1" applyBorder="1" applyAlignment="1" applyProtection="1">
      <alignment horizontal="left" vertical="center" wrapText="1" indent="2"/>
      <protection hidden="1"/>
    </xf>
    <xf numFmtId="0" fontId="48" fillId="3" borderId="10" xfId="0" quotePrefix="1" applyFont="1" applyFill="1" applyBorder="1" applyAlignment="1" applyProtection="1">
      <alignment horizontal="left" vertical="center" wrapText="1" indent="2"/>
      <protection hidden="1"/>
    </xf>
    <xf numFmtId="3" fontId="33" fillId="3" borderId="12" xfId="0" applyNumberFormat="1" applyFont="1" applyFill="1" applyBorder="1" applyAlignment="1" applyProtection="1">
      <alignment horizontal="center" vertical="center" wrapText="1"/>
      <protection hidden="1"/>
    </xf>
    <xf numFmtId="3" fontId="33" fillId="3" borderId="13" xfId="0" applyNumberFormat="1" applyFont="1" applyFill="1" applyBorder="1" applyAlignment="1" applyProtection="1">
      <alignment horizontal="center" vertical="center" wrapText="1"/>
      <protection hidden="1"/>
    </xf>
    <xf numFmtId="3" fontId="33" fillId="3" borderId="14" xfId="0" applyNumberFormat="1" applyFont="1" applyFill="1" applyBorder="1" applyAlignment="1" applyProtection="1">
      <alignment horizontal="center" vertical="center" wrapText="1"/>
      <protection hidden="1"/>
    </xf>
    <xf numFmtId="0" fontId="33" fillId="3" borderId="2" xfId="0" quotePrefix="1" applyFont="1" applyFill="1" applyBorder="1" applyAlignment="1" applyProtection="1">
      <alignment horizontal="left" vertical="center" wrapText="1" indent="2"/>
      <protection hidden="1"/>
    </xf>
    <xf numFmtId="0" fontId="33" fillId="3" borderId="9" xfId="0" quotePrefix="1" applyFont="1" applyFill="1" applyBorder="1" applyAlignment="1" applyProtection="1">
      <alignment horizontal="left" vertical="center" wrapText="1" indent="2"/>
      <protection hidden="1"/>
    </xf>
    <xf numFmtId="3" fontId="33" fillId="3" borderId="31" xfId="0" applyNumberFormat="1" applyFont="1" applyFill="1" applyBorder="1" applyAlignment="1" applyProtection="1">
      <alignment horizontal="center" vertical="center" wrapText="1"/>
      <protection hidden="1"/>
    </xf>
    <xf numFmtId="3" fontId="33" fillId="3" borderId="32" xfId="0" applyNumberFormat="1" applyFont="1" applyFill="1" applyBorder="1" applyAlignment="1" applyProtection="1">
      <alignment horizontal="center" vertical="center" wrapText="1"/>
      <protection hidden="1"/>
    </xf>
    <xf numFmtId="0" fontId="48" fillId="3" borderId="4" xfId="0" quotePrefix="1" applyFont="1" applyFill="1" applyBorder="1" applyAlignment="1" applyProtection="1">
      <alignment horizontal="left" vertical="center" wrapText="1" indent="2"/>
      <protection hidden="1"/>
    </xf>
    <xf numFmtId="0" fontId="48" fillId="3" borderId="11" xfId="0" quotePrefix="1" applyFont="1" applyFill="1" applyBorder="1" applyAlignment="1" applyProtection="1">
      <alignment horizontal="left" vertical="center" wrapText="1" indent="2"/>
      <protection hidden="1"/>
    </xf>
    <xf numFmtId="3" fontId="33" fillId="3" borderId="33" xfId="0" applyNumberFormat="1" applyFont="1" applyFill="1" applyBorder="1" applyAlignment="1" applyProtection="1">
      <alignment horizontal="center" vertical="center" wrapText="1"/>
      <protection hidden="1"/>
    </xf>
    <xf numFmtId="0" fontId="33" fillId="4" borderId="4" xfId="0" quotePrefix="1" applyFont="1" applyFill="1" applyBorder="1" applyAlignment="1" applyProtection="1">
      <alignment horizontal="left" vertical="center" wrapText="1" indent="2"/>
      <protection hidden="1"/>
    </xf>
    <xf numFmtId="0" fontId="33" fillId="4" borderId="11" xfId="0" quotePrefix="1" applyFont="1" applyFill="1" applyBorder="1" applyAlignment="1" applyProtection="1">
      <alignment horizontal="left" vertical="center" wrapText="1" indent="2"/>
      <protection hidden="1"/>
    </xf>
    <xf numFmtId="3" fontId="33" fillId="4" borderId="33" xfId="0" applyNumberFormat="1" applyFont="1" applyFill="1" applyBorder="1" applyAlignment="1" applyProtection="1">
      <alignment horizontal="center" vertical="center" wrapText="1"/>
      <protection hidden="1"/>
    </xf>
    <xf numFmtId="3" fontId="33" fillId="4" borderId="31" xfId="0" applyNumberFormat="1" applyFont="1" applyFill="1" applyBorder="1" applyAlignment="1" applyProtection="1">
      <alignment horizontal="center" vertical="center" wrapText="1"/>
      <protection hidden="1"/>
    </xf>
    <xf numFmtId="3" fontId="33" fillId="2" borderId="30" xfId="0" applyNumberFormat="1" applyFont="1" applyFill="1" applyBorder="1" applyAlignment="1" applyProtection="1">
      <alignment horizontal="center" vertical="center" wrapText="1"/>
      <protection hidden="1"/>
    </xf>
    <xf numFmtId="3" fontId="33" fillId="2" borderId="34" xfId="0" applyNumberFormat="1" applyFont="1" applyFill="1" applyBorder="1" applyAlignment="1" applyProtection="1">
      <alignment horizontal="center" vertical="center" wrapText="1"/>
      <protection hidden="1"/>
    </xf>
    <xf numFmtId="0" fontId="33" fillId="2" borderId="3" xfId="0" quotePrefix="1" applyFont="1" applyFill="1" applyBorder="1" applyAlignment="1" applyProtection="1">
      <alignment horizontal="left" vertical="center" wrapText="1" indent="2"/>
      <protection hidden="1"/>
    </xf>
    <xf numFmtId="0" fontId="33" fillId="2" borderId="10" xfId="0" quotePrefix="1" applyFont="1" applyFill="1" applyBorder="1" applyAlignment="1" applyProtection="1">
      <alignment horizontal="left" vertical="center" wrapText="1" indent="2"/>
      <protection hidden="1"/>
    </xf>
    <xf numFmtId="0" fontId="33" fillId="2" borderId="2" xfId="0" quotePrefix="1" applyFont="1" applyFill="1" applyBorder="1" applyAlignment="1" applyProtection="1">
      <alignment horizontal="left" vertical="center" wrapText="1" indent="2"/>
      <protection hidden="1"/>
    </xf>
    <xf numFmtId="0" fontId="33" fillId="2" borderId="9" xfId="0" quotePrefix="1" applyFont="1" applyFill="1" applyBorder="1" applyAlignment="1" applyProtection="1">
      <alignment horizontal="left" vertical="center" wrapText="1" indent="2"/>
      <protection hidden="1"/>
    </xf>
    <xf numFmtId="3" fontId="33" fillId="2" borderId="33" xfId="0" applyNumberFormat="1" applyFont="1" applyFill="1" applyBorder="1" applyAlignment="1" applyProtection="1">
      <alignment horizontal="center" vertical="center" wrapText="1"/>
      <protection hidden="1"/>
    </xf>
    <xf numFmtId="3" fontId="33" fillId="2" borderId="31" xfId="0" applyNumberFormat="1" applyFont="1" applyFill="1" applyBorder="1" applyAlignment="1" applyProtection="1">
      <alignment horizontal="center" vertical="center" wrapText="1"/>
      <protection hidden="1"/>
    </xf>
    <xf numFmtId="0" fontId="33" fillId="2" borderId="4" xfId="0" quotePrefix="1" applyFont="1" applyFill="1" applyBorder="1" applyAlignment="1" applyProtection="1">
      <alignment horizontal="left" vertical="center" wrapText="1" indent="2"/>
      <protection hidden="1"/>
    </xf>
    <xf numFmtId="0" fontId="33" fillId="2" borderId="11" xfId="0" quotePrefix="1" applyFont="1" applyFill="1" applyBorder="1" applyAlignment="1" applyProtection="1">
      <alignment horizontal="left" vertical="center" wrapText="1" indent="2"/>
      <protection hidden="1"/>
    </xf>
    <xf numFmtId="3" fontId="33" fillId="2" borderId="29" xfId="0" applyNumberFormat="1" applyFont="1" applyFill="1" applyBorder="1" applyAlignment="1" applyProtection="1">
      <alignment horizontal="center" vertical="center" wrapText="1"/>
      <protection hidden="1"/>
    </xf>
    <xf numFmtId="3" fontId="33" fillId="2" borderId="13" xfId="0" applyNumberFormat="1" applyFont="1" applyFill="1" applyBorder="1" applyAlignment="1" applyProtection="1">
      <alignment horizontal="center" vertical="center" wrapText="1"/>
      <protection hidden="1"/>
    </xf>
    <xf numFmtId="3" fontId="33" fillId="2" borderId="32" xfId="0" applyNumberFormat="1" applyFont="1" applyFill="1" applyBorder="1" applyAlignment="1" applyProtection="1">
      <alignment horizontal="center" vertical="center" wrapText="1"/>
      <protection hidden="1"/>
    </xf>
    <xf numFmtId="0" fontId="42" fillId="3" borderId="180" xfId="0" applyFont="1" applyFill="1" applyBorder="1" applyAlignment="1" applyProtection="1">
      <alignment horizontal="center" vertical="center" wrapText="1"/>
      <protection hidden="1"/>
    </xf>
    <xf numFmtId="0" fontId="42" fillId="2" borderId="0" xfId="0" applyFont="1" applyFill="1" applyAlignment="1" applyProtection="1">
      <alignment horizontal="center" wrapText="1"/>
      <protection hidden="1"/>
    </xf>
    <xf numFmtId="9" fontId="42" fillId="2" borderId="0" xfId="3" applyFont="1" applyFill="1" applyBorder="1" applyAlignment="1" applyProtection="1">
      <alignment horizontal="center" wrapText="1"/>
      <protection hidden="1"/>
    </xf>
    <xf numFmtId="3" fontId="46" fillId="2" borderId="53" xfId="0" applyNumberFormat="1" applyFont="1" applyFill="1" applyBorder="1" applyAlignment="1" applyProtection="1">
      <alignment horizontal="center" vertical="center" wrapText="1"/>
      <protection hidden="1"/>
    </xf>
    <xf numFmtId="0" fontId="71" fillId="2" borderId="168" xfId="0" quotePrefix="1" applyFont="1" applyFill="1" applyBorder="1" applyAlignment="1" applyProtection="1">
      <alignment horizontal="center" vertical="center" wrapText="1"/>
      <protection hidden="1"/>
    </xf>
    <xf numFmtId="0" fontId="71" fillId="2" borderId="169" xfId="0" quotePrefix="1" applyFont="1" applyFill="1" applyBorder="1" applyAlignment="1" applyProtection="1">
      <alignment horizontal="center" vertical="center" wrapText="1"/>
      <protection hidden="1"/>
    </xf>
    <xf numFmtId="0" fontId="71" fillId="2" borderId="172" xfId="0" quotePrefix="1" applyFont="1" applyFill="1" applyBorder="1" applyAlignment="1" applyProtection="1">
      <alignment horizontal="center" vertical="center" wrapText="1"/>
      <protection hidden="1"/>
    </xf>
    <xf numFmtId="0" fontId="71" fillId="2" borderId="170" xfId="0" quotePrefix="1" applyFont="1" applyFill="1" applyBorder="1" applyAlignment="1" applyProtection="1">
      <alignment horizontal="center" vertical="center" wrapText="1"/>
      <protection hidden="1"/>
    </xf>
    <xf numFmtId="3" fontId="33" fillId="2" borderId="181" xfId="0" applyNumberFormat="1" applyFont="1" applyFill="1" applyBorder="1" applyAlignment="1" applyProtection="1">
      <alignment horizontal="center" vertical="center" wrapText="1"/>
      <protection hidden="1"/>
    </xf>
    <xf numFmtId="168" fontId="33" fillId="0" borderId="46" xfId="0" applyNumberFormat="1" applyFont="1" applyBorder="1" applyAlignment="1" applyProtection="1">
      <alignment horizontal="center" vertical="center" wrapText="1"/>
      <protection hidden="1"/>
    </xf>
    <xf numFmtId="168" fontId="33" fillId="0" borderId="49" xfId="0" applyNumberFormat="1" applyFont="1" applyBorder="1" applyAlignment="1" applyProtection="1">
      <alignment horizontal="center" vertical="center" wrapText="1"/>
      <protection hidden="1"/>
    </xf>
    <xf numFmtId="168" fontId="33" fillId="0" borderId="51" xfId="0" applyNumberFormat="1" applyFont="1" applyBorder="1" applyAlignment="1" applyProtection="1">
      <alignment horizontal="center" vertical="center" wrapText="1"/>
      <protection hidden="1"/>
    </xf>
    <xf numFmtId="0" fontId="33" fillId="0" borderId="46" xfId="0" applyFont="1" applyBorder="1" applyAlignment="1" applyProtection="1">
      <alignment horizontal="center" vertical="center" wrapText="1"/>
      <protection locked="0"/>
    </xf>
    <xf numFmtId="0" fontId="33" fillId="0" borderId="49" xfId="0" applyFont="1" applyBorder="1" applyAlignment="1" applyProtection="1">
      <alignment horizontal="center" vertical="center" wrapText="1"/>
      <protection locked="0"/>
    </xf>
    <xf numFmtId="0" fontId="33" fillId="0" borderId="51" xfId="0" applyFont="1" applyBorder="1" applyAlignment="1" applyProtection="1">
      <alignment horizontal="center" vertical="center" wrapText="1"/>
      <protection locked="0"/>
    </xf>
    <xf numFmtId="0" fontId="33" fillId="2" borderId="0" xfId="0" quotePrefix="1" applyFont="1" applyFill="1" applyAlignment="1" applyProtection="1">
      <alignment horizontal="center" vertical="center" wrapText="1"/>
      <protection hidden="1"/>
    </xf>
    <xf numFmtId="4" fontId="33" fillId="2" borderId="53" xfId="0" applyNumberFormat="1" applyFont="1" applyFill="1" applyBorder="1" applyAlignment="1" applyProtection="1">
      <alignment horizontal="center" vertical="center" wrapText="1"/>
      <protection hidden="1"/>
    </xf>
    <xf numFmtId="166" fontId="33" fillId="2" borderId="46" xfId="3" applyNumberFormat="1" applyFont="1" applyFill="1" applyBorder="1" applyAlignment="1" applyProtection="1">
      <alignment horizontal="center" vertical="center" wrapText="1"/>
      <protection hidden="1"/>
    </xf>
    <xf numFmtId="166" fontId="33" fillId="2" borderId="49" xfId="3" applyNumberFormat="1" applyFont="1" applyFill="1" applyBorder="1" applyAlignment="1" applyProtection="1">
      <alignment horizontal="center" vertical="center" wrapText="1"/>
      <protection hidden="1"/>
    </xf>
    <xf numFmtId="166" fontId="33" fillId="2" borderId="51" xfId="3" applyNumberFormat="1" applyFont="1" applyFill="1" applyBorder="1" applyAlignment="1" applyProtection="1">
      <alignment horizontal="center" vertical="center" wrapText="1"/>
      <protection hidden="1"/>
    </xf>
    <xf numFmtId="168" fontId="33" fillId="2" borderId="46" xfId="0" applyNumberFormat="1" applyFont="1" applyFill="1" applyBorder="1" applyAlignment="1" applyProtection="1">
      <alignment horizontal="center" vertical="center" wrapText="1"/>
      <protection hidden="1"/>
    </xf>
    <xf numFmtId="168" fontId="33" fillId="2" borderId="49" xfId="0" applyNumberFormat="1" applyFont="1" applyFill="1" applyBorder="1" applyAlignment="1" applyProtection="1">
      <alignment horizontal="center" vertical="center" wrapText="1"/>
      <protection hidden="1"/>
    </xf>
    <xf numFmtId="168" fontId="33" fillId="2" borderId="51" xfId="0" applyNumberFormat="1" applyFont="1" applyFill="1" applyBorder="1" applyAlignment="1" applyProtection="1">
      <alignment horizontal="center" vertical="center" wrapText="1"/>
      <protection hidden="1"/>
    </xf>
    <xf numFmtId="0" fontId="46" fillId="2" borderId="48" xfId="0" quotePrefix="1" applyFont="1" applyFill="1" applyBorder="1" applyAlignment="1" applyProtection="1">
      <alignment horizontal="center" vertical="center" wrapText="1"/>
      <protection hidden="1"/>
    </xf>
    <xf numFmtId="0" fontId="46" fillId="2" borderId="126" xfId="0" quotePrefix="1" applyFont="1" applyFill="1" applyBorder="1" applyAlignment="1" applyProtection="1">
      <alignment horizontal="center" vertical="center" wrapText="1"/>
      <protection hidden="1"/>
    </xf>
    <xf numFmtId="0" fontId="46" fillId="2" borderId="127" xfId="0" quotePrefix="1" applyFont="1" applyFill="1" applyBorder="1" applyAlignment="1" applyProtection="1">
      <alignment horizontal="center" vertical="center" wrapText="1"/>
      <protection hidden="1"/>
    </xf>
    <xf numFmtId="0" fontId="46" fillId="2" borderId="55" xfId="0" quotePrefix="1" applyFont="1" applyFill="1" applyBorder="1" applyAlignment="1" applyProtection="1">
      <alignment horizontal="center" vertical="center" wrapText="1"/>
      <protection hidden="1"/>
    </xf>
    <xf numFmtId="0" fontId="46" fillId="2" borderId="0" xfId="0" quotePrefix="1" applyFont="1" applyFill="1" applyAlignment="1" applyProtection="1">
      <alignment horizontal="center" vertical="center" wrapText="1"/>
      <protection hidden="1"/>
    </xf>
    <xf numFmtId="0" fontId="46" fillId="2" borderId="182" xfId="0" quotePrefix="1" applyFont="1" applyFill="1" applyBorder="1" applyAlignment="1" applyProtection="1">
      <alignment horizontal="center" vertical="center" wrapText="1"/>
      <protection hidden="1"/>
    </xf>
    <xf numFmtId="0" fontId="46" fillId="2" borderId="47" xfId="0" quotePrefix="1" applyFont="1" applyFill="1" applyBorder="1" applyAlignment="1" applyProtection="1">
      <alignment horizontal="center" vertical="center" wrapText="1"/>
      <protection hidden="1"/>
    </xf>
    <xf numFmtId="0" fontId="46" fillId="2" borderId="128" xfId="0" quotePrefix="1" applyFont="1" applyFill="1" applyBorder="1" applyAlignment="1" applyProtection="1">
      <alignment horizontal="center" vertical="center" wrapText="1"/>
      <protection hidden="1"/>
    </xf>
    <xf numFmtId="0" fontId="46" fillId="2" borderId="129" xfId="0" quotePrefix="1" applyFont="1" applyFill="1" applyBorder="1" applyAlignment="1" applyProtection="1">
      <alignment horizontal="center" vertical="center" wrapText="1"/>
      <protection hidden="1"/>
    </xf>
    <xf numFmtId="0" fontId="46" fillId="2" borderId="46" xfId="0" quotePrefix="1" applyFont="1" applyFill="1" applyBorder="1" applyAlignment="1" applyProtection="1">
      <alignment horizontal="center" vertical="center" wrapText="1"/>
      <protection hidden="1"/>
    </xf>
    <xf numFmtId="0" fontId="46" fillId="2" borderId="49" xfId="0" quotePrefix="1" applyFont="1" applyFill="1" applyBorder="1" applyAlignment="1" applyProtection="1">
      <alignment horizontal="center" vertical="center" wrapText="1"/>
      <protection hidden="1"/>
    </xf>
    <xf numFmtId="0" fontId="46" fillId="2" borderId="51" xfId="0" quotePrefix="1" applyFont="1" applyFill="1" applyBorder="1" applyAlignment="1" applyProtection="1">
      <alignment horizontal="center" vertical="center" wrapText="1"/>
      <protection hidden="1"/>
    </xf>
    <xf numFmtId="3" fontId="33" fillId="2" borderId="0" xfId="0" applyNumberFormat="1" applyFont="1" applyFill="1" applyAlignment="1" applyProtection="1">
      <alignment horizontal="center" vertical="center" wrapText="1"/>
      <protection hidden="1"/>
    </xf>
    <xf numFmtId="3" fontId="33" fillId="2" borderId="14" xfId="0" applyNumberFormat="1" applyFont="1" applyFill="1" applyBorder="1" applyAlignment="1" applyProtection="1">
      <alignment horizontal="center" vertical="center" wrapText="1"/>
      <protection hidden="1"/>
    </xf>
    <xf numFmtId="3" fontId="33" fillId="2" borderId="12" xfId="0" applyNumberFormat="1" applyFont="1" applyFill="1" applyBorder="1" applyAlignment="1" applyProtection="1">
      <alignment horizontal="center" vertical="center" wrapText="1"/>
      <protection hidden="1"/>
    </xf>
    <xf numFmtId="0" fontId="46" fillId="2" borderId="53" xfId="0" quotePrefix="1" applyFont="1" applyFill="1" applyBorder="1" applyAlignment="1" applyProtection="1">
      <alignment horizontal="center" vertical="center" wrapText="1"/>
      <protection hidden="1"/>
    </xf>
    <xf numFmtId="3" fontId="33" fillId="2" borderId="35" xfId="0" applyNumberFormat="1" applyFont="1" applyFill="1" applyBorder="1" applyAlignment="1" applyProtection="1">
      <alignment horizontal="center" vertical="center" wrapText="1"/>
      <protection hidden="1"/>
    </xf>
    <xf numFmtId="3" fontId="33" fillId="2" borderId="36" xfId="0" applyNumberFormat="1" applyFont="1" applyFill="1" applyBorder="1" applyAlignment="1" applyProtection="1">
      <alignment horizontal="center" vertical="center" wrapText="1"/>
      <protection hidden="1"/>
    </xf>
    <xf numFmtId="3" fontId="33" fillId="2" borderId="37" xfId="0" applyNumberFormat="1" applyFont="1" applyFill="1" applyBorder="1" applyAlignment="1" applyProtection="1">
      <alignment horizontal="center" vertical="center" wrapText="1"/>
      <protection hidden="1"/>
    </xf>
    <xf numFmtId="3" fontId="46" fillId="2" borderId="46" xfId="0" applyNumberFormat="1" applyFont="1" applyFill="1" applyBorder="1" applyAlignment="1" applyProtection="1">
      <alignment horizontal="center" vertical="center" wrapText="1"/>
      <protection hidden="1"/>
    </xf>
    <xf numFmtId="3" fontId="46" fillId="2" borderId="49" xfId="0" applyNumberFormat="1" applyFont="1" applyFill="1" applyBorder="1" applyAlignment="1" applyProtection="1">
      <alignment horizontal="center" vertical="center" wrapText="1"/>
      <protection hidden="1"/>
    </xf>
    <xf numFmtId="3" fontId="46" fillId="2" borderId="51" xfId="0" applyNumberFormat="1" applyFont="1" applyFill="1" applyBorder="1" applyAlignment="1" applyProtection="1">
      <alignment horizontal="center" vertical="center" wrapText="1"/>
      <protection hidden="1"/>
    </xf>
    <xf numFmtId="1" fontId="42" fillId="3" borderId="180" xfId="0" applyNumberFormat="1" applyFont="1" applyFill="1" applyBorder="1" applyAlignment="1" applyProtection="1">
      <alignment horizontal="center" vertical="center" wrapText="1"/>
      <protection hidden="1"/>
    </xf>
    <xf numFmtId="0" fontId="33" fillId="2" borderId="188" xfId="0" applyFont="1" applyFill="1" applyBorder="1" applyAlignment="1" applyProtection="1">
      <alignment horizontal="left" vertical="center" wrapText="1" indent="1"/>
      <protection hidden="1"/>
    </xf>
    <xf numFmtId="0" fontId="33" fillId="2" borderId="189" xfId="0" applyFont="1" applyFill="1" applyBorder="1" applyAlignment="1" applyProtection="1">
      <alignment horizontal="left" vertical="center" wrapText="1" indent="1"/>
      <protection hidden="1"/>
    </xf>
    <xf numFmtId="0" fontId="33" fillId="2" borderId="190" xfId="0" applyFont="1" applyFill="1" applyBorder="1" applyAlignment="1" applyProtection="1">
      <alignment horizontal="left" vertical="center" wrapText="1" indent="1"/>
      <protection hidden="1"/>
    </xf>
    <xf numFmtId="0" fontId="47" fillId="2" borderId="53" xfId="0" quotePrefix="1" applyFont="1" applyFill="1" applyBorder="1" applyAlignment="1" applyProtection="1">
      <alignment horizontal="center" vertical="center" wrapText="1"/>
      <protection hidden="1"/>
    </xf>
    <xf numFmtId="0" fontId="57" fillId="2" borderId="53" xfId="0" quotePrefix="1" applyFont="1" applyFill="1" applyBorder="1" applyAlignment="1" applyProtection="1">
      <alignment horizontal="center" vertical="center" wrapText="1"/>
      <protection hidden="1"/>
    </xf>
    <xf numFmtId="0" fontId="46" fillId="2" borderId="46" xfId="0" applyFont="1" applyFill="1" applyBorder="1" applyAlignment="1" applyProtection="1">
      <alignment horizontal="center" vertical="center" wrapText="1"/>
      <protection hidden="1"/>
    </xf>
    <xf numFmtId="0" fontId="46" fillId="2" borderId="49" xfId="0" applyFont="1" applyFill="1" applyBorder="1" applyAlignment="1" applyProtection="1">
      <alignment horizontal="center" vertical="center" wrapText="1"/>
      <protection hidden="1"/>
    </xf>
    <xf numFmtId="0" fontId="46" fillId="2" borderId="51" xfId="0" applyFont="1" applyFill="1" applyBorder="1" applyAlignment="1" applyProtection="1">
      <alignment horizontal="center" vertical="center" wrapText="1"/>
      <protection hidden="1"/>
    </xf>
    <xf numFmtId="0" fontId="46" fillId="2" borderId="48" xfId="0" applyFont="1" applyFill="1" applyBorder="1" applyAlignment="1" applyProtection="1">
      <alignment horizontal="center" vertical="center" wrapText="1"/>
      <protection hidden="1"/>
    </xf>
    <xf numFmtId="0" fontId="46" fillId="2" borderId="126" xfId="0" applyFont="1" applyFill="1" applyBorder="1" applyAlignment="1" applyProtection="1">
      <alignment horizontal="center" vertical="center" wrapText="1"/>
      <protection hidden="1"/>
    </xf>
    <xf numFmtId="0" fontId="46" fillId="2" borderId="127" xfId="0" applyFont="1" applyFill="1" applyBorder="1" applyAlignment="1" applyProtection="1">
      <alignment horizontal="center" vertical="center" wrapText="1"/>
      <protection hidden="1"/>
    </xf>
    <xf numFmtId="0" fontId="46" fillId="2" borderId="55" xfId="0" applyFont="1" applyFill="1" applyBorder="1" applyAlignment="1" applyProtection="1">
      <alignment horizontal="center" vertical="center" wrapText="1"/>
      <protection hidden="1"/>
    </xf>
    <xf numFmtId="0" fontId="46" fillId="2" borderId="0" xfId="0" applyFont="1" applyFill="1" applyAlignment="1" applyProtection="1">
      <alignment horizontal="center" vertical="center" wrapText="1"/>
      <protection hidden="1"/>
    </xf>
    <xf numFmtId="0" fontId="46" fillId="2" borderId="182" xfId="0" applyFont="1" applyFill="1" applyBorder="1" applyAlignment="1" applyProtection="1">
      <alignment horizontal="center" vertical="center" wrapText="1"/>
      <protection hidden="1"/>
    </xf>
    <xf numFmtId="0" fontId="46" fillId="2" borderId="47" xfId="0" applyFont="1" applyFill="1" applyBorder="1" applyAlignment="1" applyProtection="1">
      <alignment horizontal="center" vertical="center" wrapText="1"/>
      <protection hidden="1"/>
    </xf>
    <xf numFmtId="0" fontId="46" fillId="2" borderId="128" xfId="0" applyFont="1" applyFill="1" applyBorder="1" applyAlignment="1" applyProtection="1">
      <alignment horizontal="center" vertical="center" wrapText="1"/>
      <protection hidden="1"/>
    </xf>
    <xf numFmtId="0" fontId="46" fillId="2" borderId="129" xfId="0" applyFont="1" applyFill="1" applyBorder="1" applyAlignment="1" applyProtection="1">
      <alignment horizontal="center" vertical="center" wrapText="1"/>
      <protection hidden="1"/>
    </xf>
    <xf numFmtId="0" fontId="33" fillId="2" borderId="183" xfId="0" applyFont="1" applyFill="1" applyBorder="1" applyAlignment="1" applyProtection="1">
      <alignment horizontal="left" vertical="center" wrapText="1" indent="1"/>
      <protection hidden="1"/>
    </xf>
    <xf numFmtId="0" fontId="33" fillId="2" borderId="184" xfId="0" applyFont="1" applyFill="1" applyBorder="1" applyAlignment="1" applyProtection="1">
      <alignment horizontal="left" vertical="center" wrapText="1" indent="1"/>
      <protection hidden="1"/>
    </xf>
    <xf numFmtId="0" fontId="33" fillId="2" borderId="185" xfId="0" applyFont="1" applyFill="1" applyBorder="1" applyAlignment="1" applyProtection="1">
      <alignment horizontal="left" vertical="center" wrapText="1" indent="1"/>
      <protection hidden="1"/>
    </xf>
    <xf numFmtId="0" fontId="33" fillId="2" borderId="186" xfId="0" applyFont="1" applyFill="1" applyBorder="1" applyAlignment="1" applyProtection="1">
      <alignment horizontal="left" vertical="center" wrapText="1" indent="1"/>
      <protection hidden="1"/>
    </xf>
    <xf numFmtId="0" fontId="33" fillId="2" borderId="5" xfId="0" applyFont="1" applyFill="1" applyBorder="1" applyAlignment="1" applyProtection="1">
      <alignment horizontal="left" vertical="center" wrapText="1" indent="1"/>
      <protection hidden="1"/>
    </xf>
    <xf numFmtId="0" fontId="33" fillId="2" borderId="187" xfId="0" applyFont="1" applyFill="1" applyBorder="1" applyAlignment="1" applyProtection="1">
      <alignment horizontal="left" vertical="center" wrapText="1" indent="1"/>
      <protection hidden="1"/>
    </xf>
    <xf numFmtId="0" fontId="46" fillId="2" borderId="0" xfId="0" quotePrefix="1" applyFont="1" applyFill="1" applyAlignment="1" applyProtection="1">
      <alignment horizontal="left" vertical="center" wrapText="1" indent="1"/>
      <protection hidden="1"/>
    </xf>
    <xf numFmtId="0" fontId="43" fillId="2" borderId="53" xfId="0" quotePrefix="1" applyFont="1" applyFill="1" applyBorder="1" applyAlignment="1" applyProtection="1">
      <alignment horizontal="left" vertical="center" wrapText="1" indent="1"/>
      <protection hidden="1"/>
    </xf>
    <xf numFmtId="0" fontId="33" fillId="2" borderId="0" xfId="0" quotePrefix="1" applyFont="1" applyFill="1" applyAlignment="1" applyProtection="1">
      <alignment horizontal="left" vertical="center" wrapText="1" indent="1"/>
      <protection hidden="1"/>
    </xf>
    <xf numFmtId="0" fontId="33" fillId="2" borderId="53" xfId="0" quotePrefix="1" applyFont="1" applyFill="1" applyBorder="1" applyAlignment="1" applyProtection="1">
      <alignment horizontal="left" vertical="center" wrapText="1"/>
      <protection hidden="1"/>
    </xf>
    <xf numFmtId="0" fontId="33" fillId="2" borderId="18" xfId="0" quotePrefix="1" applyFont="1" applyFill="1" applyBorder="1" applyAlignment="1" applyProtection="1">
      <alignment horizontal="left" vertical="center" wrapText="1" indent="2"/>
      <protection hidden="1"/>
    </xf>
    <xf numFmtId="0" fontId="33" fillId="2" borderId="7" xfId="0" quotePrefix="1" applyFont="1" applyFill="1" applyBorder="1" applyAlignment="1" applyProtection="1">
      <alignment horizontal="left" vertical="center" wrapText="1" indent="2"/>
      <protection hidden="1"/>
    </xf>
    <xf numFmtId="0" fontId="33" fillId="2" borderId="0" xfId="0" quotePrefix="1" applyFont="1" applyFill="1" applyAlignment="1" applyProtection="1">
      <alignment horizontal="left" vertical="center" indent="1"/>
      <protection hidden="1"/>
    </xf>
    <xf numFmtId="0" fontId="33" fillId="3" borderId="0" xfId="0" quotePrefix="1" applyFont="1" applyFill="1" applyAlignment="1" applyProtection="1">
      <alignment horizontal="left" vertical="center" wrapText="1" indent="1"/>
      <protection hidden="1"/>
    </xf>
    <xf numFmtId="3" fontId="33" fillId="3" borderId="20" xfId="0" applyNumberFormat="1" applyFont="1" applyFill="1" applyBorder="1" applyAlignment="1" applyProtection="1">
      <alignment horizontal="center" vertical="center" wrapText="1"/>
      <protection hidden="1"/>
    </xf>
    <xf numFmtId="3" fontId="33" fillId="3" borderId="21" xfId="0" applyNumberFormat="1" applyFont="1" applyFill="1" applyBorder="1" applyAlignment="1" applyProtection="1">
      <alignment horizontal="center" vertical="center" wrapText="1"/>
      <protection hidden="1"/>
    </xf>
    <xf numFmtId="3" fontId="33" fillId="4" borderId="20" xfId="0" applyNumberFormat="1" applyFont="1" applyFill="1" applyBorder="1" applyAlignment="1" applyProtection="1">
      <alignment horizontal="center" vertical="center" wrapText="1"/>
      <protection hidden="1"/>
    </xf>
    <xf numFmtId="3" fontId="33" fillId="4" borderId="21" xfId="0" applyNumberFormat="1" applyFont="1" applyFill="1" applyBorder="1" applyAlignment="1" applyProtection="1">
      <alignment horizontal="center" vertical="center" wrapText="1"/>
      <protection hidden="1"/>
    </xf>
    <xf numFmtId="1" fontId="33" fillId="3" borderId="8" xfId="0" applyNumberFormat="1" applyFont="1" applyFill="1" applyBorder="1" applyAlignment="1" applyProtection="1">
      <alignment horizontal="center" vertical="center" wrapText="1"/>
      <protection hidden="1"/>
    </xf>
    <xf numFmtId="1" fontId="33" fillId="3" borderId="38" xfId="0" applyNumberFormat="1" applyFont="1" applyFill="1" applyBorder="1" applyAlignment="1" applyProtection="1">
      <alignment horizontal="center" vertical="center" wrapText="1"/>
      <protection hidden="1"/>
    </xf>
    <xf numFmtId="1" fontId="33" fillId="4" borderId="8" xfId="0" applyNumberFormat="1" applyFont="1" applyFill="1" applyBorder="1" applyAlignment="1" applyProtection="1">
      <alignment horizontal="center" vertical="center" wrapText="1"/>
      <protection hidden="1"/>
    </xf>
    <xf numFmtId="1" fontId="33" fillId="4" borderId="38" xfId="0" applyNumberFormat="1" applyFont="1" applyFill="1" applyBorder="1" applyAlignment="1" applyProtection="1">
      <alignment horizontal="center" vertical="center" wrapText="1"/>
      <protection hidden="1"/>
    </xf>
    <xf numFmtId="0" fontId="33" fillId="3" borderId="20" xfId="0" quotePrefix="1" applyFont="1" applyFill="1" applyBorder="1" applyAlignment="1" applyProtection="1">
      <alignment horizontal="center" vertical="center" wrapText="1"/>
      <protection hidden="1"/>
    </xf>
    <xf numFmtId="1" fontId="33" fillId="4" borderId="31" xfId="0" applyNumberFormat="1" applyFont="1" applyFill="1" applyBorder="1" applyAlignment="1" applyProtection="1">
      <alignment horizontal="center" vertical="center" wrapText="1"/>
      <protection hidden="1"/>
    </xf>
    <xf numFmtId="1" fontId="33" fillId="4" borderId="32" xfId="0" applyNumberFormat="1" applyFont="1" applyFill="1" applyBorder="1" applyAlignment="1" applyProtection="1">
      <alignment horizontal="center" vertical="center" wrapText="1"/>
      <protection hidden="1"/>
    </xf>
    <xf numFmtId="1" fontId="33" fillId="4" borderId="33" xfId="0" applyNumberFormat="1" applyFont="1" applyFill="1" applyBorder="1" applyAlignment="1" applyProtection="1">
      <alignment horizontal="center" vertical="center" wrapText="1"/>
      <protection hidden="1"/>
    </xf>
    <xf numFmtId="0" fontId="33" fillId="4" borderId="20" xfId="0" quotePrefix="1" applyFont="1" applyFill="1" applyBorder="1" applyAlignment="1" applyProtection="1">
      <alignment horizontal="center" vertical="center" wrapText="1"/>
      <protection hidden="1"/>
    </xf>
    <xf numFmtId="1" fontId="33" fillId="2" borderId="2" xfId="0" applyNumberFormat="1" applyFont="1" applyFill="1" applyBorder="1" applyAlignment="1" applyProtection="1">
      <alignment horizontal="center" wrapText="1"/>
      <protection hidden="1"/>
    </xf>
    <xf numFmtId="3" fontId="33" fillId="4" borderId="32" xfId="0" applyNumberFormat="1" applyFont="1" applyFill="1" applyBorder="1" applyAlignment="1" applyProtection="1">
      <alignment horizontal="center" vertical="center" wrapText="1"/>
      <protection hidden="1"/>
    </xf>
    <xf numFmtId="1" fontId="33" fillId="4" borderId="39" xfId="0" applyNumberFormat="1" applyFont="1" applyFill="1" applyBorder="1" applyAlignment="1" applyProtection="1">
      <alignment horizontal="center" vertical="center" wrapText="1"/>
      <protection hidden="1"/>
    </xf>
    <xf numFmtId="1" fontId="33" fillId="4" borderId="40" xfId="0" applyNumberFormat="1" applyFont="1" applyFill="1" applyBorder="1" applyAlignment="1" applyProtection="1">
      <alignment horizontal="center" vertical="center" wrapText="1"/>
      <protection hidden="1"/>
    </xf>
    <xf numFmtId="1" fontId="33" fillId="4" borderId="41" xfId="0" applyNumberFormat="1" applyFont="1" applyFill="1" applyBorder="1" applyAlignment="1" applyProtection="1">
      <alignment horizontal="center" vertical="center" wrapText="1"/>
      <protection hidden="1"/>
    </xf>
    <xf numFmtId="1" fontId="33" fillId="3" borderId="20" xfId="0" applyNumberFormat="1" applyFont="1" applyFill="1" applyBorder="1" applyAlignment="1" applyProtection="1">
      <alignment horizontal="center" vertical="center" wrapText="1"/>
      <protection hidden="1"/>
    </xf>
    <xf numFmtId="1" fontId="33" fillId="3" borderId="42" xfId="0" applyNumberFormat="1" applyFont="1" applyFill="1" applyBorder="1" applyAlignment="1" applyProtection="1">
      <alignment horizontal="center" vertical="center" wrapText="1"/>
      <protection hidden="1"/>
    </xf>
    <xf numFmtId="0" fontId="33" fillId="4" borderId="8" xfId="0" quotePrefix="1" applyFont="1" applyFill="1" applyBorder="1" applyAlignment="1" applyProtection="1">
      <alignment horizontal="center" vertical="center" wrapText="1"/>
      <protection hidden="1"/>
    </xf>
    <xf numFmtId="3" fontId="33" fillId="4" borderId="8" xfId="0" applyNumberFormat="1" applyFont="1" applyFill="1" applyBorder="1" applyAlignment="1" applyProtection="1">
      <alignment horizontal="center" vertical="center" wrapText="1"/>
      <protection hidden="1"/>
    </xf>
    <xf numFmtId="3" fontId="33" fillId="4" borderId="26" xfId="0" applyNumberFormat="1" applyFont="1" applyFill="1" applyBorder="1" applyAlignment="1" applyProtection="1">
      <alignment horizontal="center" vertical="center" wrapText="1"/>
      <protection hidden="1"/>
    </xf>
    <xf numFmtId="0" fontId="72" fillId="2" borderId="49" xfId="0" quotePrefix="1" applyFont="1" applyFill="1" applyBorder="1" applyAlignment="1" applyProtection="1">
      <alignment horizontal="center" vertical="center" wrapText="1"/>
      <protection hidden="1"/>
    </xf>
    <xf numFmtId="0" fontId="72" fillId="2" borderId="51" xfId="0" quotePrefix="1" applyFont="1" applyFill="1" applyBorder="1" applyAlignment="1" applyProtection="1">
      <alignment horizontal="center" vertical="center" wrapText="1"/>
      <protection hidden="1"/>
    </xf>
    <xf numFmtId="0" fontId="68" fillId="2" borderId="46" xfId="0" quotePrefix="1" applyFont="1" applyFill="1" applyBorder="1" applyAlignment="1" applyProtection="1">
      <alignment horizontal="center" vertical="center" wrapText="1"/>
      <protection hidden="1"/>
    </xf>
    <xf numFmtId="0" fontId="68" fillId="2" borderId="49" xfId="0" quotePrefix="1" applyFont="1" applyFill="1" applyBorder="1" applyAlignment="1" applyProtection="1">
      <alignment horizontal="center" vertical="center" wrapText="1"/>
      <protection hidden="1"/>
    </xf>
    <xf numFmtId="0" fontId="68" fillId="2" borderId="51" xfId="0" quotePrefix="1" applyFont="1" applyFill="1" applyBorder="1" applyAlignment="1" applyProtection="1">
      <alignment horizontal="center" vertical="center" wrapText="1"/>
      <protection hidden="1"/>
    </xf>
    <xf numFmtId="0" fontId="57" fillId="2" borderId="46" xfId="0" quotePrefix="1" applyFont="1" applyFill="1" applyBorder="1" applyAlignment="1" applyProtection="1">
      <alignment horizontal="center" vertical="center" wrapText="1"/>
      <protection hidden="1"/>
    </xf>
    <xf numFmtId="0" fontId="57" fillId="2" borderId="49" xfId="0" quotePrefix="1" applyFont="1" applyFill="1" applyBorder="1" applyAlignment="1" applyProtection="1">
      <alignment horizontal="center" vertical="center" wrapText="1"/>
      <protection hidden="1"/>
    </xf>
    <xf numFmtId="0" fontId="57" fillId="2" borderId="51" xfId="0" quotePrefix="1" applyFont="1" applyFill="1" applyBorder="1" applyAlignment="1" applyProtection="1">
      <alignment horizontal="center" vertical="center" wrapText="1"/>
      <protection hidden="1"/>
    </xf>
    <xf numFmtId="0" fontId="43" fillId="2" borderId="53" xfId="0" applyFont="1" applyFill="1" applyBorder="1" applyAlignment="1" applyProtection="1">
      <alignment horizontal="center" vertical="center" wrapText="1"/>
      <protection hidden="1"/>
    </xf>
    <xf numFmtId="0" fontId="42" fillId="2" borderId="46" xfId="0" applyFont="1" applyFill="1" applyBorder="1" applyAlignment="1" applyProtection="1">
      <alignment horizontal="left" wrapText="1"/>
      <protection hidden="1"/>
    </xf>
    <xf numFmtId="0" fontId="42" fillId="2" borderId="49" xfId="0" applyFont="1" applyFill="1" applyBorder="1" applyAlignment="1" applyProtection="1">
      <alignment horizontal="left" wrapText="1"/>
      <protection hidden="1"/>
    </xf>
    <xf numFmtId="0" fontId="42" fillId="2" borderId="51" xfId="0" applyFont="1" applyFill="1" applyBorder="1" applyAlignment="1" applyProtection="1">
      <alignment horizontal="left" wrapText="1"/>
      <protection hidden="1"/>
    </xf>
    <xf numFmtId="0" fontId="42" fillId="0" borderId="46" xfId="0" applyFont="1" applyBorder="1" applyAlignment="1" applyProtection="1">
      <alignment horizontal="center" wrapText="1"/>
      <protection locked="0"/>
    </xf>
    <xf numFmtId="0" fontId="42" fillId="0" borderId="49" xfId="0" applyFont="1" applyBorder="1" applyAlignment="1" applyProtection="1">
      <alignment horizontal="center" wrapText="1"/>
      <protection locked="0"/>
    </xf>
    <xf numFmtId="0" fontId="42" fillId="0" borderId="51" xfId="0" applyFont="1" applyBorder="1" applyAlignment="1" applyProtection="1">
      <alignment horizontal="center" wrapText="1"/>
      <protection locked="0"/>
    </xf>
    <xf numFmtId="168" fontId="33" fillId="2" borderId="29" xfId="0" applyNumberFormat="1" applyFont="1" applyFill="1" applyBorder="1" applyAlignment="1" applyProtection="1">
      <alignment horizontal="center" vertical="center" wrapText="1"/>
      <protection hidden="1"/>
    </xf>
    <xf numFmtId="168" fontId="33" fillId="2" borderId="30" xfId="0" applyNumberFormat="1" applyFont="1" applyFill="1" applyBorder="1" applyAlignment="1" applyProtection="1">
      <alignment horizontal="center" vertical="center" wrapText="1"/>
      <protection hidden="1"/>
    </xf>
    <xf numFmtId="168" fontId="33" fillId="2" borderId="34" xfId="0" applyNumberFormat="1" applyFont="1" applyFill="1" applyBorder="1" applyAlignment="1" applyProtection="1">
      <alignment horizontal="center" vertical="center" wrapText="1"/>
      <protection hidden="1"/>
    </xf>
    <xf numFmtId="3" fontId="33" fillId="2" borderId="68" xfId="0" applyNumberFormat="1" applyFont="1" applyFill="1" applyBorder="1" applyAlignment="1" applyProtection="1">
      <alignment horizontal="center" vertical="center" wrapText="1"/>
      <protection hidden="1"/>
    </xf>
    <xf numFmtId="3" fontId="33" fillId="2" borderId="79" xfId="0" applyNumberFormat="1" applyFont="1" applyFill="1" applyBorder="1" applyAlignment="1" applyProtection="1">
      <alignment horizontal="center" vertical="center" wrapText="1"/>
      <protection hidden="1"/>
    </xf>
    <xf numFmtId="3" fontId="33" fillId="2" borderId="80" xfId="0" applyNumberFormat="1" applyFont="1" applyFill="1" applyBorder="1" applyAlignment="1" applyProtection="1">
      <alignment horizontal="center" vertical="center" wrapText="1"/>
      <protection hidden="1"/>
    </xf>
    <xf numFmtId="3" fontId="33" fillId="2" borderId="81" xfId="0" applyNumberFormat="1" applyFont="1" applyFill="1" applyBorder="1" applyAlignment="1" applyProtection="1">
      <alignment horizontal="center" vertical="center" wrapText="1"/>
      <protection hidden="1"/>
    </xf>
    <xf numFmtId="0" fontId="33" fillId="2" borderId="79" xfId="0" quotePrefix="1" applyFont="1" applyFill="1" applyBorder="1" applyAlignment="1" applyProtection="1">
      <alignment horizontal="center" vertical="center" wrapText="1"/>
      <protection hidden="1"/>
    </xf>
    <xf numFmtId="0" fontId="33" fillId="2" borderId="80" xfId="0" quotePrefix="1" applyFont="1" applyFill="1" applyBorder="1" applyAlignment="1" applyProtection="1">
      <alignment horizontal="center" vertical="center" wrapText="1"/>
      <protection hidden="1"/>
    </xf>
    <xf numFmtId="0" fontId="33" fillId="2" borderId="81" xfId="0" quotePrefix="1" applyFont="1" applyFill="1" applyBorder="1" applyAlignment="1" applyProtection="1">
      <alignment horizontal="center" vertical="center" wrapText="1"/>
      <protection hidden="1"/>
    </xf>
    <xf numFmtId="4" fontId="33" fillId="2" borderId="68" xfId="0" applyNumberFormat="1" applyFont="1" applyFill="1" applyBorder="1" applyAlignment="1" applyProtection="1">
      <alignment horizontal="center" vertical="center" wrapText="1"/>
      <protection hidden="1"/>
    </xf>
    <xf numFmtId="0" fontId="33" fillId="2" borderId="31" xfId="0" quotePrefix="1" applyFont="1" applyFill="1" applyBorder="1" applyAlignment="1" applyProtection="1">
      <alignment horizontal="center" vertical="center" wrapText="1"/>
      <protection hidden="1"/>
    </xf>
    <xf numFmtId="0" fontId="33" fillId="2" borderId="32" xfId="0" quotePrefix="1" applyFont="1" applyFill="1" applyBorder="1" applyAlignment="1" applyProtection="1">
      <alignment horizontal="center" vertical="center" wrapText="1"/>
      <protection hidden="1"/>
    </xf>
    <xf numFmtId="0" fontId="33" fillId="2" borderId="68" xfId="0" applyFont="1" applyFill="1" applyBorder="1" applyAlignment="1" applyProtection="1">
      <alignment horizontal="center" vertical="center" wrapText="1"/>
      <protection hidden="1"/>
    </xf>
    <xf numFmtId="3" fontId="33" fillId="2" borderId="68" xfId="0" applyNumberFormat="1" applyFont="1" applyFill="1" applyBorder="1" applyAlignment="1" applyProtection="1">
      <alignment horizontal="left" vertical="center" wrapText="1" indent="1"/>
      <protection hidden="1"/>
    </xf>
    <xf numFmtId="3" fontId="33" fillId="2" borderId="79" xfId="0" applyNumberFormat="1" applyFont="1" applyFill="1" applyBorder="1" applyAlignment="1" applyProtection="1">
      <alignment horizontal="left" vertical="center" wrapText="1" indent="1"/>
      <protection hidden="1"/>
    </xf>
    <xf numFmtId="168" fontId="33" fillId="2" borderId="35" xfId="0" applyNumberFormat="1" applyFont="1" applyFill="1" applyBorder="1" applyAlignment="1" applyProtection="1">
      <alignment horizontal="center" vertical="center" wrapText="1"/>
      <protection hidden="1"/>
    </xf>
    <xf numFmtId="168" fontId="33" fillId="2" borderId="36" xfId="0" applyNumberFormat="1" applyFont="1" applyFill="1" applyBorder="1" applyAlignment="1" applyProtection="1">
      <alignment horizontal="center" vertical="center" wrapText="1"/>
      <protection hidden="1"/>
    </xf>
    <xf numFmtId="168" fontId="33" fillId="2" borderId="37" xfId="0" applyNumberFormat="1" applyFont="1" applyFill="1" applyBorder="1" applyAlignment="1" applyProtection="1">
      <alignment horizontal="center" vertical="center" wrapText="1"/>
      <protection hidden="1"/>
    </xf>
    <xf numFmtId="3" fontId="33" fillId="2" borderId="0" xfId="0" applyNumberFormat="1" applyFont="1" applyFill="1" applyAlignment="1" applyProtection="1">
      <alignment horizontal="left" vertical="center" wrapText="1" indent="1"/>
      <protection hidden="1"/>
    </xf>
    <xf numFmtId="3" fontId="33" fillId="2" borderId="68" xfId="0" quotePrefix="1" applyNumberFormat="1" applyFont="1" applyFill="1" applyBorder="1" applyAlignment="1" applyProtection="1">
      <alignment horizontal="left" vertical="center" wrapText="1" indent="1"/>
      <protection hidden="1"/>
    </xf>
    <xf numFmtId="168" fontId="33" fillId="2" borderId="0" xfId="0" applyNumberFormat="1" applyFont="1" applyFill="1" applyAlignment="1" applyProtection="1">
      <alignment horizontal="center" vertical="center" wrapText="1"/>
      <protection hidden="1"/>
    </xf>
    <xf numFmtId="0" fontId="33" fillId="2" borderId="68" xfId="0" quotePrefix="1" applyFont="1" applyFill="1" applyBorder="1" applyAlignment="1" applyProtection="1">
      <alignment horizontal="center" vertical="center" wrapText="1"/>
      <protection hidden="1"/>
    </xf>
    <xf numFmtId="3" fontId="33" fillId="2" borderId="191" xfId="0" applyNumberFormat="1" applyFont="1" applyFill="1" applyBorder="1" applyAlignment="1" applyProtection="1">
      <alignment horizontal="left" vertical="center" wrapText="1" indent="1"/>
      <protection hidden="1"/>
    </xf>
    <xf numFmtId="3" fontId="33" fillId="2" borderId="192" xfId="0" applyNumberFormat="1" applyFont="1" applyFill="1" applyBorder="1" applyAlignment="1" applyProtection="1">
      <alignment horizontal="left" vertical="center" wrapText="1" indent="1"/>
      <protection hidden="1"/>
    </xf>
    <xf numFmtId="3" fontId="33" fillId="2" borderId="193" xfId="0" applyNumberFormat="1" applyFont="1" applyFill="1" applyBorder="1" applyAlignment="1" applyProtection="1">
      <alignment horizontal="left" vertical="center" wrapText="1" indent="1"/>
      <protection hidden="1"/>
    </xf>
    <xf numFmtId="168" fontId="33" fillId="2" borderId="12" xfId="0" applyNumberFormat="1" applyFont="1" applyFill="1" applyBorder="1" applyAlignment="1" applyProtection="1">
      <alignment horizontal="center" vertical="center" wrapText="1"/>
      <protection hidden="1"/>
    </xf>
    <xf numFmtId="168" fontId="33" fillId="2" borderId="13" xfId="0" applyNumberFormat="1" applyFont="1" applyFill="1" applyBorder="1" applyAlignment="1" applyProtection="1">
      <alignment horizontal="center" vertical="center" wrapText="1"/>
      <protection hidden="1"/>
    </xf>
    <xf numFmtId="168" fontId="33" fillId="2" borderId="14" xfId="0" applyNumberFormat="1" applyFont="1" applyFill="1" applyBorder="1" applyAlignment="1" applyProtection="1">
      <alignment horizontal="center" vertical="center" wrapText="1"/>
      <protection hidden="1"/>
    </xf>
    <xf numFmtId="3" fontId="33" fillId="2" borderId="68" xfId="0" applyNumberFormat="1" applyFont="1" applyFill="1" applyBorder="1" applyAlignment="1" applyProtection="1">
      <alignment horizontal="center" vertical="center" textRotation="90" wrapText="1"/>
      <protection hidden="1"/>
    </xf>
    <xf numFmtId="3" fontId="33" fillId="2" borderId="194" xfId="0" applyNumberFormat="1" applyFont="1" applyFill="1" applyBorder="1" applyAlignment="1" applyProtection="1">
      <alignment horizontal="left" vertical="center" wrapText="1" indent="1"/>
      <protection hidden="1"/>
    </xf>
    <xf numFmtId="3" fontId="33" fillId="2" borderId="195" xfId="0" applyNumberFormat="1" applyFont="1" applyFill="1" applyBorder="1" applyAlignment="1" applyProtection="1">
      <alignment horizontal="left" vertical="center" wrapText="1" indent="1"/>
      <protection hidden="1"/>
    </xf>
    <xf numFmtId="3" fontId="33" fillId="2" borderId="196" xfId="0" applyNumberFormat="1" applyFont="1" applyFill="1" applyBorder="1" applyAlignment="1" applyProtection="1">
      <alignment horizontal="left" vertical="center" wrapText="1" indent="1"/>
      <protection hidden="1"/>
    </xf>
    <xf numFmtId="3" fontId="33" fillId="2" borderId="197" xfId="0" applyNumberFormat="1" applyFont="1" applyFill="1" applyBorder="1" applyAlignment="1" applyProtection="1">
      <alignment horizontal="left" vertical="center" wrapText="1" indent="1"/>
      <protection hidden="1"/>
    </xf>
    <xf numFmtId="3" fontId="33" fillId="2" borderId="198" xfId="0" applyNumberFormat="1" applyFont="1" applyFill="1" applyBorder="1" applyAlignment="1" applyProtection="1">
      <alignment horizontal="left" vertical="center" wrapText="1" indent="1"/>
      <protection hidden="1"/>
    </xf>
    <xf numFmtId="168" fontId="33" fillId="2" borderId="68" xfId="0" applyNumberFormat="1" applyFont="1" applyFill="1" applyBorder="1" applyAlignment="1" applyProtection="1">
      <alignment horizontal="center" vertical="center" wrapText="1"/>
      <protection hidden="1"/>
    </xf>
    <xf numFmtId="168" fontId="33" fillId="2" borderId="33" xfId="0" applyNumberFormat="1" applyFont="1" applyFill="1" applyBorder="1" applyAlignment="1" applyProtection="1">
      <alignment horizontal="center" vertical="center" wrapText="1"/>
      <protection hidden="1"/>
    </xf>
    <xf numFmtId="168" fontId="33" fillId="2" borderId="31" xfId="0" applyNumberFormat="1" applyFont="1" applyFill="1" applyBorder="1" applyAlignment="1" applyProtection="1">
      <alignment horizontal="center" vertical="center" wrapText="1"/>
      <protection hidden="1"/>
    </xf>
    <xf numFmtId="168" fontId="33" fillId="2" borderId="32" xfId="0" applyNumberFormat="1" applyFont="1" applyFill="1" applyBorder="1" applyAlignment="1" applyProtection="1">
      <alignment horizontal="center" vertical="center" wrapText="1"/>
      <protection hidden="1"/>
    </xf>
    <xf numFmtId="0" fontId="33" fillId="2" borderId="191" xfId="0" quotePrefix="1" applyFont="1" applyFill="1" applyBorder="1" applyAlignment="1" applyProtection="1">
      <alignment horizontal="center" vertical="center" wrapText="1"/>
      <protection hidden="1"/>
    </xf>
    <xf numFmtId="0" fontId="33" fillId="2" borderId="192" xfId="0" quotePrefix="1" applyFont="1" applyFill="1" applyBorder="1" applyAlignment="1" applyProtection="1">
      <alignment horizontal="center" vertical="center" wrapText="1"/>
      <protection hidden="1"/>
    </xf>
    <xf numFmtId="0" fontId="33" fillId="2" borderId="193" xfId="0" quotePrefix="1" applyFont="1" applyFill="1" applyBorder="1" applyAlignment="1" applyProtection="1">
      <alignment horizontal="center" vertical="center" wrapText="1"/>
      <protection hidden="1"/>
    </xf>
    <xf numFmtId="0" fontId="33" fillId="2" borderId="194" xfId="0" quotePrefix="1" applyFont="1" applyFill="1" applyBorder="1" applyAlignment="1" applyProtection="1">
      <alignment horizontal="center" vertical="center" wrapText="1"/>
      <protection hidden="1"/>
    </xf>
    <xf numFmtId="0" fontId="33" fillId="2" borderId="195" xfId="0" quotePrefix="1" applyFont="1" applyFill="1" applyBorder="1" applyAlignment="1" applyProtection="1">
      <alignment horizontal="center" vertical="center" wrapText="1"/>
      <protection hidden="1"/>
    </xf>
    <xf numFmtId="0" fontId="33" fillId="2" borderId="196" xfId="0" quotePrefix="1" applyFont="1" applyFill="1" applyBorder="1" applyAlignment="1" applyProtection="1">
      <alignment horizontal="center" vertical="center" wrapText="1"/>
      <protection hidden="1"/>
    </xf>
    <xf numFmtId="0" fontId="33" fillId="2" borderId="197" xfId="0" quotePrefix="1" applyFont="1" applyFill="1" applyBorder="1" applyAlignment="1" applyProtection="1">
      <alignment horizontal="center" vertical="center" wrapText="1"/>
      <protection hidden="1"/>
    </xf>
    <xf numFmtId="0" fontId="33" fillId="2" borderId="198" xfId="0" quotePrefix="1" applyFont="1" applyFill="1" applyBorder="1" applyAlignment="1" applyProtection="1">
      <alignment horizontal="center" vertical="center" wrapText="1"/>
      <protection hidden="1"/>
    </xf>
    <xf numFmtId="0" fontId="57" fillId="2" borderId="79" xfId="0" quotePrefix="1" applyFont="1" applyFill="1" applyBorder="1" applyAlignment="1" applyProtection="1">
      <alignment horizontal="center" vertical="center" wrapText="1"/>
      <protection hidden="1"/>
    </xf>
    <xf numFmtId="0" fontId="57" fillId="2" borderId="80" xfId="0" quotePrefix="1" applyFont="1" applyFill="1" applyBorder="1" applyAlignment="1" applyProtection="1">
      <alignment horizontal="center" vertical="center" wrapText="1"/>
      <protection hidden="1"/>
    </xf>
    <xf numFmtId="0" fontId="57" fillId="2" borderId="81" xfId="0" quotePrefix="1" applyFont="1" applyFill="1" applyBorder="1" applyAlignment="1" applyProtection="1">
      <alignment horizontal="center" vertical="center" wrapText="1"/>
      <protection hidden="1"/>
    </xf>
    <xf numFmtId="0" fontId="33" fillId="2" borderId="79" xfId="0" applyFont="1" applyFill="1" applyBorder="1" applyAlignment="1" applyProtection="1">
      <alignment horizontal="center" vertical="center" wrapText="1"/>
      <protection hidden="1"/>
    </xf>
    <xf numFmtId="0" fontId="33"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3" fillId="2" borderId="199" xfId="0" quotePrefix="1" applyFont="1" applyFill="1" applyBorder="1" applyAlignment="1" applyProtection="1">
      <alignment horizontal="center" vertical="center" wrapText="1"/>
      <protection hidden="1"/>
    </xf>
    <xf numFmtId="0" fontId="33" fillId="2" borderId="200" xfId="0" quotePrefix="1" applyFont="1" applyFill="1" applyBorder="1" applyAlignment="1" applyProtection="1">
      <alignment horizontal="center" vertical="center" wrapText="1"/>
      <protection hidden="1"/>
    </xf>
    <xf numFmtId="0" fontId="33" fillId="2" borderId="201" xfId="0" quotePrefix="1" applyFont="1" applyFill="1" applyBorder="1" applyAlignment="1" applyProtection="1">
      <alignment horizontal="center" vertical="center" wrapText="1"/>
      <protection hidden="1"/>
    </xf>
    <xf numFmtId="0" fontId="0" fillId="12" borderId="0" xfId="0" applyFill="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8" xfId="0" applyBorder="1" applyAlignment="1">
      <alignment horizontal="center"/>
    </xf>
    <xf numFmtId="0" fontId="0" fillId="0" borderId="21" xfId="0" applyBorder="1" applyAlignment="1">
      <alignment horizontal="center"/>
    </xf>
    <xf numFmtId="0" fontId="0" fillId="21" borderId="8" xfId="0" applyFill="1" applyBorder="1" applyAlignment="1">
      <alignment horizontal="center" vertical="center"/>
    </xf>
    <xf numFmtId="0" fontId="0" fillId="21" borderId="0" xfId="0" applyFill="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wrapText="1"/>
    </xf>
    <xf numFmtId="0" fontId="0" fillId="9" borderId="0" xfId="0" applyFill="1" applyAlignment="1">
      <alignment horizontal="center" vertical="center" wrapText="1"/>
    </xf>
    <xf numFmtId="0" fontId="0" fillId="18" borderId="8" xfId="0" applyFill="1" applyBorder="1" applyAlignment="1">
      <alignment horizontal="center" vertical="center"/>
    </xf>
    <xf numFmtId="0" fontId="0" fillId="18" borderId="0" xfId="0" applyFill="1" applyAlignment="1">
      <alignment horizontal="center" vertical="center"/>
    </xf>
    <xf numFmtId="0" fontId="0" fillId="17" borderId="0" xfId="0" applyFill="1" applyAlignment="1">
      <alignment horizontal="center" vertical="center" wrapText="1"/>
    </xf>
    <xf numFmtId="0" fontId="0" fillId="13" borderId="0" xfId="0" applyFill="1" applyAlignment="1">
      <alignment horizontal="center" vertical="center"/>
    </xf>
    <xf numFmtId="0" fontId="0" fillId="13" borderId="18" xfId="0" applyFill="1"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wrapText="1"/>
    </xf>
    <xf numFmtId="0" fontId="0" fillId="0" borderId="17" xfId="0" applyBorder="1" applyAlignment="1">
      <alignment horizontal="center" vertical="center" wrapText="1"/>
    </xf>
    <xf numFmtId="0" fontId="0" fillId="19" borderId="0" xfId="0" applyFill="1" applyAlignment="1">
      <alignment horizontal="center" vertical="center" wrapText="1"/>
    </xf>
    <xf numFmtId="0" fontId="0" fillId="19" borderId="18" xfId="0" applyFill="1" applyBorder="1" applyAlignment="1">
      <alignment horizontal="center" vertical="center" wrapText="1"/>
    </xf>
    <xf numFmtId="0" fontId="0" fillId="19" borderId="17" xfId="0" applyFill="1" applyBorder="1" applyAlignment="1">
      <alignment horizontal="center" vertical="center" wrapText="1"/>
    </xf>
    <xf numFmtId="0" fontId="0" fillId="20" borderId="0" xfId="0" applyFill="1" applyAlignment="1">
      <alignment horizontal="center" vertical="center" wrapText="1"/>
    </xf>
    <xf numFmtId="0" fontId="0" fillId="14" borderId="0" xfId="0" applyFill="1" applyAlignment="1">
      <alignment horizontal="center" vertical="center"/>
    </xf>
    <xf numFmtId="0" fontId="0" fillId="18" borderId="0" xfId="0" applyFill="1" applyAlignment="1">
      <alignment horizontal="center" vertical="center" wrapText="1"/>
    </xf>
    <xf numFmtId="0" fontId="0" fillId="13" borderId="0" xfId="0" applyFill="1" applyAlignment="1">
      <alignment horizontal="center" vertical="center" wrapText="1"/>
    </xf>
    <xf numFmtId="0" fontId="0" fillId="13" borderId="17" xfId="0" applyFill="1" applyBorder="1" applyAlignment="1">
      <alignment horizontal="center" vertical="center" wrapText="1"/>
    </xf>
    <xf numFmtId="0" fontId="0" fillId="21" borderId="17" xfId="0" applyFill="1" applyBorder="1" applyAlignment="1">
      <alignment horizontal="center" vertical="center"/>
    </xf>
    <xf numFmtId="0" fontId="0" fillId="16" borderId="0" xfId="0" applyFill="1" applyAlignment="1">
      <alignment horizontal="center" vertic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13" borderId="25" xfId="0" applyFill="1" applyBorder="1" applyAlignment="1">
      <alignment horizontal="center" vertical="center"/>
    </xf>
    <xf numFmtId="0" fontId="0" fillId="13" borderId="28" xfId="0" applyFill="1" applyBorder="1" applyAlignment="1">
      <alignment horizontal="center" vertical="center"/>
    </xf>
    <xf numFmtId="0" fontId="0" fillId="15" borderId="25" xfId="0" applyFill="1" applyBorder="1" applyAlignment="1">
      <alignment horizontal="center" vertical="center" wrapText="1"/>
    </xf>
    <xf numFmtId="0" fontId="0" fillId="16" borderId="17" xfId="0" applyFill="1" applyBorder="1" applyAlignment="1">
      <alignment horizontal="center" vertical="center" wrapText="1"/>
    </xf>
    <xf numFmtId="0" fontId="0" fillId="16" borderId="7" xfId="0" applyFill="1" applyBorder="1" applyAlignment="1">
      <alignment horizontal="center" vertical="center" wrapText="1"/>
    </xf>
    <xf numFmtId="0" fontId="0" fillId="14" borderId="17" xfId="0" applyFill="1" applyBorder="1" applyAlignment="1">
      <alignment horizontal="center" vertical="center"/>
    </xf>
    <xf numFmtId="0" fontId="0" fillId="14" borderId="7" xfId="0" applyFill="1" applyBorder="1" applyAlignment="1">
      <alignment horizontal="center" vertical="center"/>
    </xf>
    <xf numFmtId="0" fontId="0" fillId="13" borderId="17" xfId="0" applyFill="1" applyBorder="1" applyAlignment="1">
      <alignment horizontal="center" vertical="center"/>
    </xf>
    <xf numFmtId="0" fontId="0" fillId="13" borderId="7" xfId="0" applyFill="1" applyBorder="1" applyAlignment="1">
      <alignment horizontal="center" vertical="center"/>
    </xf>
    <xf numFmtId="0" fontId="0" fillId="15" borderId="0" xfId="0" applyFill="1" applyAlignment="1">
      <alignment horizontal="center" vertical="center" wrapText="1"/>
    </xf>
    <xf numFmtId="0" fontId="0" fillId="22" borderId="0" xfId="0" applyFill="1" applyAlignment="1">
      <alignment horizontal="center"/>
    </xf>
    <xf numFmtId="0" fontId="0" fillId="5" borderId="59" xfId="0" applyFill="1" applyBorder="1" applyAlignment="1" applyProtection="1">
      <alignment horizontal="center" vertical="top"/>
      <protection hidden="1"/>
    </xf>
    <xf numFmtId="170" fontId="38" fillId="2" borderId="61" xfId="4" applyNumberFormat="1" applyFont="1" applyFill="1" applyBorder="1" applyAlignment="1" applyProtection="1">
      <alignment horizontal="center" vertical="center" wrapText="1"/>
      <protection hidden="1"/>
    </xf>
    <xf numFmtId="1" fontId="38" fillId="2" borderId="61" xfId="0" applyNumberFormat="1" applyFont="1" applyFill="1" applyBorder="1" applyAlignment="1" applyProtection="1">
      <alignment horizontal="center" vertical="center" wrapText="1"/>
      <protection hidden="1"/>
    </xf>
    <xf numFmtId="0" fontId="45" fillId="5" borderId="109" xfId="0" applyFont="1" applyFill="1" applyBorder="1" applyAlignment="1" applyProtection="1">
      <alignment horizontal="center" vertical="center" wrapText="1"/>
      <protection hidden="1"/>
    </xf>
    <xf numFmtId="0" fontId="45" fillId="5" borderId="110" xfId="0" applyFont="1" applyFill="1" applyBorder="1" applyAlignment="1" applyProtection="1">
      <alignment horizontal="center" vertical="center" wrapText="1"/>
      <protection hidden="1"/>
    </xf>
    <xf numFmtId="9" fontId="38" fillId="2" borderId="111" xfId="3" applyFont="1" applyFill="1" applyBorder="1" applyAlignment="1" applyProtection="1">
      <alignment horizontal="center" vertical="center" wrapText="1"/>
      <protection hidden="1"/>
    </xf>
    <xf numFmtId="9" fontId="38" fillId="2" borderId="112" xfId="3" applyFont="1" applyFill="1" applyBorder="1" applyAlignment="1" applyProtection="1">
      <alignment horizontal="center" vertical="center" wrapText="1"/>
      <protection hidden="1"/>
    </xf>
    <xf numFmtId="9" fontId="38" fillId="2" borderId="61" xfId="3" applyFont="1" applyFill="1" applyBorder="1" applyAlignment="1" applyProtection="1">
      <alignment horizontal="center" vertical="center" wrapText="1"/>
      <protection hidden="1"/>
    </xf>
    <xf numFmtId="0" fontId="45" fillId="5" borderId="134" xfId="0" applyFont="1" applyFill="1" applyBorder="1" applyAlignment="1" applyProtection="1">
      <alignment horizontal="center" vertical="center" wrapText="1"/>
      <protection hidden="1"/>
    </xf>
    <xf numFmtId="0" fontId="45" fillId="5" borderId="135" xfId="0" applyFont="1" applyFill="1" applyBorder="1" applyAlignment="1" applyProtection="1">
      <alignment horizontal="center" vertical="center" wrapText="1"/>
      <protection hidden="1"/>
    </xf>
    <xf numFmtId="0" fontId="45" fillId="5" borderId="115" xfId="0" applyFont="1" applyFill="1" applyBorder="1" applyAlignment="1" applyProtection="1">
      <alignment horizontal="center" vertical="center" wrapText="1"/>
      <protection hidden="1"/>
    </xf>
    <xf numFmtId="0" fontId="45" fillId="5" borderId="116" xfId="0" applyFont="1" applyFill="1" applyBorder="1" applyAlignment="1" applyProtection="1">
      <alignment horizontal="center" vertical="center" wrapText="1"/>
      <protection hidden="1"/>
    </xf>
    <xf numFmtId="0" fontId="38" fillId="2" borderId="0" xfId="0" applyFont="1" applyFill="1" applyAlignment="1" applyProtection="1">
      <alignment horizontal="left" vertical="top" wrapText="1"/>
      <protection hidden="1"/>
    </xf>
    <xf numFmtId="0" fontId="32" fillId="0" borderId="202" xfId="0" applyFont="1" applyBorder="1" applyAlignment="1" applyProtection="1">
      <alignment horizontal="center" vertical="center" wrapText="1"/>
      <protection hidden="1"/>
    </xf>
    <xf numFmtId="0" fontId="32" fillId="0" borderId="203" xfId="0" applyFont="1" applyBorder="1" applyAlignment="1" applyProtection="1">
      <alignment horizontal="center" vertical="center" wrapText="1"/>
      <protection hidden="1"/>
    </xf>
    <xf numFmtId="0" fontId="32" fillId="0" borderId="204" xfId="0" applyFont="1" applyBorder="1" applyAlignment="1" applyProtection="1">
      <alignment horizontal="center" vertical="center" wrapText="1"/>
      <protection hidden="1"/>
    </xf>
    <xf numFmtId="1" fontId="42" fillId="0" borderId="139" xfId="0" applyNumberFormat="1" applyFont="1" applyBorder="1" applyAlignment="1" applyProtection="1">
      <alignment horizontal="center" vertical="center" wrapText="1"/>
      <protection hidden="1"/>
    </xf>
    <xf numFmtId="0" fontId="42" fillId="0" borderId="139" xfId="0" applyFont="1" applyBorder="1" applyAlignment="1" applyProtection="1">
      <alignment horizontal="center" vertical="center" wrapText="1"/>
      <protection hidden="1"/>
    </xf>
    <xf numFmtId="9" fontId="42" fillId="0" borderId="139" xfId="3" applyFont="1" applyFill="1" applyBorder="1" applyAlignment="1" applyProtection="1">
      <alignment horizontal="center" vertical="center" wrapText="1"/>
      <protection hidden="1"/>
    </xf>
    <xf numFmtId="1" fontId="42" fillId="0" borderId="61" xfId="0" applyNumberFormat="1" applyFont="1" applyBorder="1" applyAlignment="1" applyProtection="1">
      <alignment horizontal="center" vertical="center" wrapText="1"/>
      <protection hidden="1"/>
    </xf>
    <xf numFmtId="0" fontId="38" fillId="2" borderId="89" xfId="0" applyFont="1" applyFill="1" applyBorder="1" applyAlignment="1" applyProtection="1">
      <alignment vertical="center" wrapText="1"/>
      <protection hidden="1"/>
    </xf>
    <xf numFmtId="0" fontId="38" fillId="2" borderId="90" xfId="0" applyFont="1" applyFill="1" applyBorder="1" applyAlignment="1" applyProtection="1">
      <alignment vertical="center" wrapText="1"/>
      <protection hidden="1"/>
    </xf>
    <xf numFmtId="0" fontId="38" fillId="2" borderId="91" xfId="0" applyFont="1" applyFill="1" applyBorder="1" applyAlignment="1" applyProtection="1">
      <alignment vertical="center" wrapText="1"/>
      <protection hidden="1"/>
    </xf>
    <xf numFmtId="0" fontId="38" fillId="2" borderId="89" xfId="0" applyFont="1" applyFill="1" applyBorder="1" applyAlignment="1" applyProtection="1">
      <alignment horizontal="left" vertical="center" wrapText="1"/>
      <protection hidden="1"/>
    </xf>
    <xf numFmtId="0" fontId="38" fillId="2" borderId="90" xfId="0" applyFont="1" applyFill="1" applyBorder="1" applyAlignment="1" applyProtection="1">
      <alignment horizontal="left" vertical="center" wrapText="1"/>
      <protection hidden="1"/>
    </xf>
    <xf numFmtId="0" fontId="38" fillId="2" borderId="91" xfId="0" applyFont="1" applyFill="1" applyBorder="1" applyAlignment="1" applyProtection="1">
      <alignment horizontal="left" vertical="center" wrapText="1"/>
      <protection hidden="1"/>
    </xf>
    <xf numFmtId="0" fontId="38" fillId="2" borderId="75" xfId="0" applyFont="1" applyFill="1" applyBorder="1" applyAlignment="1" applyProtection="1">
      <alignment horizontal="left" vertical="center" wrapText="1"/>
      <protection hidden="1"/>
    </xf>
    <xf numFmtId="0" fontId="38" fillId="2" borderId="92" xfId="0" applyFont="1" applyFill="1" applyBorder="1" applyAlignment="1" applyProtection="1">
      <alignment horizontal="left" vertical="center" wrapText="1"/>
      <protection hidden="1"/>
    </xf>
    <xf numFmtId="0" fontId="38" fillId="2" borderId="93" xfId="0" applyFont="1" applyFill="1" applyBorder="1" applyAlignment="1" applyProtection="1">
      <alignment horizontal="left" vertical="center" wrapText="1"/>
      <protection hidden="1"/>
    </xf>
    <xf numFmtId="0" fontId="38" fillId="2" borderId="72" xfId="0" applyFont="1" applyFill="1" applyBorder="1" applyAlignment="1" applyProtection="1">
      <alignment horizontal="center" vertical="center"/>
      <protection hidden="1"/>
    </xf>
    <xf numFmtId="0" fontId="38" fillId="2" borderId="160" xfId="0" applyFont="1" applyFill="1" applyBorder="1" applyAlignment="1" applyProtection="1">
      <alignment horizontal="center" vertical="center" wrapText="1"/>
      <protection hidden="1"/>
    </xf>
    <xf numFmtId="0" fontId="38" fillId="2" borderId="71" xfId="0" applyFont="1" applyFill="1" applyBorder="1" applyAlignment="1" applyProtection="1">
      <alignment horizontal="center" vertical="center" wrapText="1"/>
      <protection hidden="1"/>
    </xf>
    <xf numFmtId="0" fontId="38" fillId="2" borderId="205" xfId="0" applyFont="1" applyFill="1" applyBorder="1" applyAlignment="1" applyProtection="1">
      <alignment horizontal="center" vertical="center" wrapText="1"/>
      <protection hidden="1"/>
    </xf>
    <xf numFmtId="0" fontId="28" fillId="2" borderId="160" xfId="0" applyFont="1" applyFill="1" applyBorder="1" applyAlignment="1" applyProtection="1">
      <alignment horizontal="center" vertical="center" wrapText="1"/>
      <protection hidden="1"/>
    </xf>
    <xf numFmtId="0" fontId="28" fillId="2" borderId="71" xfId="0" applyFont="1" applyFill="1" applyBorder="1" applyAlignment="1" applyProtection="1">
      <alignment horizontal="center" vertical="center" wrapText="1"/>
      <protection hidden="1"/>
    </xf>
    <xf numFmtId="0" fontId="28" fillId="2" borderId="205" xfId="0" applyFont="1" applyFill="1" applyBorder="1" applyAlignment="1" applyProtection="1">
      <alignment horizontal="center" vertical="center" wrapText="1"/>
      <protection hidden="1"/>
    </xf>
    <xf numFmtId="9" fontId="28" fillId="2" borderId="117" xfId="3" applyFont="1" applyFill="1" applyBorder="1" applyAlignment="1" applyProtection="1">
      <alignment horizontal="center" vertical="center" wrapText="1"/>
      <protection hidden="1"/>
    </xf>
    <xf numFmtId="1" fontId="38" fillId="2" borderId="208" xfId="0" applyNumberFormat="1" applyFont="1" applyFill="1" applyBorder="1" applyAlignment="1" applyProtection="1">
      <alignment horizontal="center" vertical="center" wrapText="1"/>
      <protection hidden="1"/>
    </xf>
    <xf numFmtId="1" fontId="38" fillId="2" borderId="114" xfId="0" applyNumberFormat="1" applyFont="1" applyFill="1" applyBorder="1" applyAlignment="1" applyProtection="1">
      <alignment horizontal="center" vertical="center" wrapText="1"/>
      <protection hidden="1"/>
    </xf>
    <xf numFmtId="9" fontId="45" fillId="5" borderId="119" xfId="3" applyFont="1" applyFill="1" applyBorder="1" applyAlignment="1" applyProtection="1">
      <alignment horizontal="center" vertical="center"/>
      <protection hidden="1"/>
    </xf>
    <xf numFmtId="9" fontId="45" fillId="5" borderId="120" xfId="3" applyFont="1" applyFill="1" applyBorder="1" applyAlignment="1" applyProtection="1">
      <alignment horizontal="center" vertical="center"/>
      <protection hidden="1"/>
    </xf>
    <xf numFmtId="9" fontId="45" fillId="5" borderId="61" xfId="3" applyFont="1" applyFill="1" applyBorder="1" applyAlignment="1" applyProtection="1">
      <alignment horizontal="center" vertical="center"/>
      <protection hidden="1"/>
    </xf>
    <xf numFmtId="9" fontId="45" fillId="5" borderId="111" xfId="3" applyFont="1" applyFill="1" applyBorder="1" applyAlignment="1" applyProtection="1">
      <alignment horizontal="center" vertical="center"/>
      <protection hidden="1"/>
    </xf>
    <xf numFmtId="9" fontId="45" fillId="5" borderId="112" xfId="3" applyFont="1" applyFill="1" applyBorder="1" applyAlignment="1" applyProtection="1">
      <alignment horizontal="center" vertical="center"/>
      <protection hidden="1"/>
    </xf>
    <xf numFmtId="0" fontId="32" fillId="2" borderId="119" xfId="0" applyFont="1" applyFill="1" applyBorder="1" applyAlignment="1" applyProtection="1">
      <alignment horizontal="center" vertical="center"/>
      <protection hidden="1"/>
    </xf>
    <xf numFmtId="0" fontId="32" fillId="2" borderId="125" xfId="0" applyFont="1" applyFill="1" applyBorder="1" applyAlignment="1" applyProtection="1">
      <alignment horizontal="center" vertical="center"/>
      <protection hidden="1"/>
    </xf>
    <xf numFmtId="0" fontId="32" fillId="2" borderId="120" xfId="0" applyFont="1" applyFill="1" applyBorder="1" applyAlignment="1" applyProtection="1">
      <alignment horizontal="center" vertical="center"/>
      <protection hidden="1"/>
    </xf>
    <xf numFmtId="0" fontId="32" fillId="2" borderId="121" xfId="0" applyFont="1" applyFill="1" applyBorder="1" applyAlignment="1" applyProtection="1">
      <alignment horizontal="center" vertical="center"/>
      <protection hidden="1"/>
    </xf>
    <xf numFmtId="0" fontId="32" fillId="2" borderId="59" xfId="0" applyFont="1" applyFill="1" applyBorder="1" applyAlignment="1" applyProtection="1">
      <alignment horizontal="center" vertical="center"/>
      <protection hidden="1"/>
    </xf>
    <xf numFmtId="0" fontId="32" fillId="2" borderId="60" xfId="0" applyFont="1" applyFill="1" applyBorder="1" applyAlignment="1" applyProtection="1">
      <alignment horizontal="center" vertical="center"/>
      <protection hidden="1"/>
    </xf>
    <xf numFmtId="166" fontId="60" fillId="5" borderId="117" xfId="3" applyNumberFormat="1" applyFont="1" applyFill="1" applyBorder="1" applyAlignment="1" applyProtection="1">
      <alignment horizontal="center" vertical="center"/>
      <protection hidden="1"/>
    </xf>
    <xf numFmtId="166" fontId="60" fillId="5" borderId="161" xfId="3" applyNumberFormat="1" applyFont="1" applyFill="1" applyBorder="1" applyAlignment="1" applyProtection="1">
      <alignment horizontal="center" vertical="center"/>
      <protection hidden="1"/>
    </xf>
    <xf numFmtId="0" fontId="38" fillId="2" borderId="161" xfId="0" applyFont="1" applyFill="1" applyBorder="1" applyAlignment="1" applyProtection="1">
      <alignment horizontal="center" vertical="center" wrapText="1"/>
      <protection hidden="1"/>
    </xf>
    <xf numFmtId="0" fontId="38" fillId="2" borderId="207" xfId="0" applyFont="1" applyFill="1" applyBorder="1" applyAlignment="1" applyProtection="1">
      <alignment horizontal="center" vertical="center" wrapText="1"/>
      <protection hidden="1"/>
    </xf>
    <xf numFmtId="0" fontId="63" fillId="2" borderId="72" xfId="0" applyFont="1" applyFill="1" applyBorder="1" applyAlignment="1" applyProtection="1">
      <alignment horizontal="center" vertical="center" wrapText="1"/>
      <protection hidden="1"/>
    </xf>
    <xf numFmtId="0" fontId="63" fillId="2" borderId="72" xfId="0" applyFont="1" applyFill="1" applyBorder="1" applyAlignment="1" applyProtection="1">
      <alignment horizontal="center" vertical="center"/>
      <protection hidden="1"/>
    </xf>
    <xf numFmtId="0" fontId="28" fillId="2" borderId="117" xfId="0" applyFont="1" applyFill="1" applyBorder="1" applyAlignment="1" applyProtection="1">
      <alignment horizontal="center" vertical="center" wrapText="1"/>
      <protection hidden="1"/>
    </xf>
    <xf numFmtId="0" fontId="42" fillId="0" borderId="64" xfId="0" applyFont="1" applyBorder="1" applyAlignment="1" applyProtection="1">
      <alignment horizontal="center" vertical="center" wrapText="1"/>
      <protection hidden="1"/>
    </xf>
    <xf numFmtId="0" fontId="42" fillId="0" borderId="0" xfId="0" applyFont="1" applyAlignment="1" applyProtection="1">
      <alignment horizontal="center" vertical="center" wrapText="1"/>
      <protection hidden="1"/>
    </xf>
    <xf numFmtId="0" fontId="42" fillId="0" borderId="206" xfId="0" applyFont="1" applyBorder="1" applyAlignment="1" applyProtection="1">
      <alignment horizontal="center" vertical="center" wrapText="1"/>
      <protection hidden="1"/>
    </xf>
    <xf numFmtId="0" fontId="42" fillId="0" borderId="99" xfId="0" applyFont="1" applyBorder="1" applyAlignment="1" applyProtection="1">
      <alignment horizontal="center" vertical="center" wrapText="1"/>
      <protection hidden="1"/>
    </xf>
    <xf numFmtId="0" fontId="42" fillId="0" borderId="66" xfId="0" applyFont="1" applyBorder="1" applyAlignment="1" applyProtection="1">
      <alignment horizontal="center" vertical="center" wrapText="1"/>
      <protection hidden="1"/>
    </xf>
    <xf numFmtId="0" fontId="42" fillId="0" borderId="100" xfId="0" applyFont="1" applyBorder="1" applyAlignment="1" applyProtection="1">
      <alignment horizontal="center" vertical="center" wrapText="1"/>
      <protection hidden="1"/>
    </xf>
    <xf numFmtId="1" fontId="33" fillId="2" borderId="0" xfId="0" applyNumberFormat="1" applyFont="1" applyFill="1" applyAlignment="1" applyProtection="1">
      <alignment horizontal="center" vertical="center" wrapText="1"/>
      <protection hidden="1"/>
    </xf>
    <xf numFmtId="1" fontId="38" fillId="2" borderId="125" xfId="0" applyNumberFormat="1" applyFont="1" applyFill="1" applyBorder="1" applyAlignment="1" applyProtection="1">
      <alignment horizontal="center" vertical="center" wrapText="1"/>
      <protection hidden="1"/>
    </xf>
    <xf numFmtId="1" fontId="33" fillId="0" borderId="104" xfId="0" applyNumberFormat="1" applyFont="1" applyBorder="1" applyAlignment="1" applyProtection="1">
      <alignment horizontal="center" vertical="center" wrapText="1"/>
      <protection hidden="1"/>
    </xf>
    <xf numFmtId="0" fontId="38" fillId="2" borderId="46" xfId="0" quotePrefix="1" applyFont="1" applyFill="1" applyBorder="1" applyAlignment="1" applyProtection="1">
      <alignment horizontal="center" vertical="center" wrapText="1"/>
      <protection hidden="1"/>
    </xf>
    <xf numFmtId="0" fontId="38" fillId="2" borderId="49" xfId="0" quotePrefix="1" applyFont="1" applyFill="1" applyBorder="1" applyAlignment="1" applyProtection="1">
      <alignment horizontal="center" vertical="center" wrapText="1"/>
      <protection hidden="1"/>
    </xf>
    <xf numFmtId="0" fontId="38" fillId="2" borderId="51" xfId="0" quotePrefix="1" applyFont="1" applyFill="1" applyBorder="1" applyAlignment="1" applyProtection="1">
      <alignment horizontal="center" vertical="center" wrapText="1"/>
      <protection hidden="1"/>
    </xf>
    <xf numFmtId="0" fontId="38" fillId="2" borderId="49" xfId="0" applyFont="1" applyFill="1" applyBorder="1" applyAlignment="1" applyProtection="1">
      <alignment horizontal="left" vertical="center" wrapText="1" indent="1"/>
      <protection hidden="1"/>
    </xf>
    <xf numFmtId="0" fontId="38" fillId="2" borderId="51" xfId="0" applyFont="1" applyFill="1" applyBorder="1" applyAlignment="1" applyProtection="1">
      <alignment horizontal="left" vertical="center" wrapText="1" indent="1"/>
      <protection hidden="1"/>
    </xf>
    <xf numFmtId="0" fontId="38" fillId="2" borderId="51" xfId="0" applyFont="1" applyFill="1" applyBorder="1" applyAlignment="1" applyProtection="1">
      <alignment horizontal="left" vertical="center" wrapText="1"/>
      <protection hidden="1"/>
    </xf>
    <xf numFmtId="0" fontId="38" fillId="2" borderId="53" xfId="0" applyFont="1" applyFill="1" applyBorder="1" applyAlignment="1" applyProtection="1">
      <alignment horizontal="left" vertical="center" wrapText="1"/>
      <protection hidden="1"/>
    </xf>
    <xf numFmtId="0" fontId="33" fillId="2" borderId="48" xfId="0" quotePrefix="1" applyFont="1" applyFill="1" applyBorder="1" applyAlignment="1" applyProtection="1">
      <alignment horizontal="center" vertical="center" wrapText="1"/>
      <protection hidden="1"/>
    </xf>
    <xf numFmtId="0" fontId="33" fillId="2" borderId="126" xfId="0" quotePrefix="1" applyFont="1" applyFill="1" applyBorder="1" applyAlignment="1" applyProtection="1">
      <alignment horizontal="center" vertical="center" wrapText="1"/>
      <protection hidden="1"/>
    </xf>
    <xf numFmtId="0" fontId="33" fillId="2" borderId="127" xfId="0" quotePrefix="1" applyFont="1" applyFill="1" applyBorder="1" applyAlignment="1" applyProtection="1">
      <alignment horizontal="center" vertical="center" wrapText="1"/>
      <protection hidden="1"/>
    </xf>
    <xf numFmtId="0" fontId="33" fillId="2" borderId="47" xfId="0" quotePrefix="1" applyFont="1" applyFill="1" applyBorder="1" applyAlignment="1" applyProtection="1">
      <alignment horizontal="center" vertical="center" wrapText="1"/>
      <protection hidden="1"/>
    </xf>
    <xf numFmtId="0" fontId="33" fillId="2" borderId="128" xfId="0" quotePrefix="1" applyFont="1" applyFill="1" applyBorder="1" applyAlignment="1" applyProtection="1">
      <alignment horizontal="center" vertical="center" wrapText="1"/>
      <protection hidden="1"/>
    </xf>
    <xf numFmtId="0" fontId="33" fillId="2" borderId="129" xfId="0" quotePrefix="1" applyFont="1" applyFill="1" applyBorder="1" applyAlignment="1" applyProtection="1">
      <alignment horizontal="center" vertical="center" wrapText="1"/>
      <protection hidden="1"/>
    </xf>
    <xf numFmtId="0" fontId="45" fillId="5" borderId="111" xfId="0" applyFont="1" applyFill="1" applyBorder="1" applyAlignment="1" applyProtection="1">
      <alignment horizontal="center" vertical="center" wrapText="1"/>
      <protection hidden="1"/>
    </xf>
    <xf numFmtId="0" fontId="45" fillId="5" borderId="130" xfId="0" applyFont="1" applyFill="1" applyBorder="1" applyAlignment="1" applyProtection="1">
      <alignment horizontal="center" vertical="center" wrapText="1"/>
      <protection hidden="1"/>
    </xf>
    <xf numFmtId="0" fontId="45" fillId="5" borderId="112" xfId="0" applyFont="1" applyFill="1" applyBorder="1" applyAlignment="1" applyProtection="1">
      <alignment horizontal="center" vertical="center" wrapText="1"/>
      <protection hidden="1"/>
    </xf>
    <xf numFmtId="0" fontId="33" fillId="2" borderId="46" xfId="0" quotePrefix="1" applyFont="1" applyFill="1" applyBorder="1" applyAlignment="1" applyProtection="1">
      <alignment horizontal="center" vertical="center" wrapText="1"/>
      <protection hidden="1"/>
    </xf>
    <xf numFmtId="0" fontId="33" fillId="2" borderId="49" xfId="0" quotePrefix="1" applyFont="1" applyFill="1" applyBorder="1" applyAlignment="1" applyProtection="1">
      <alignment horizontal="center" vertical="center" wrapText="1"/>
      <protection hidden="1"/>
    </xf>
    <xf numFmtId="0" fontId="33" fillId="2" borderId="51" xfId="0" quotePrefix="1" applyFont="1" applyFill="1" applyBorder="1" applyAlignment="1" applyProtection="1">
      <alignment horizontal="center" vertical="center" wrapText="1"/>
      <protection hidden="1"/>
    </xf>
    <xf numFmtId="9" fontId="68" fillId="0" borderId="168" xfId="3" applyFont="1" applyFill="1" applyBorder="1" applyAlignment="1" applyProtection="1">
      <alignment horizontal="center" vertical="center" wrapText="1"/>
      <protection hidden="1"/>
    </xf>
    <xf numFmtId="9" fontId="68" fillId="0" borderId="170" xfId="3" applyFont="1" applyFill="1" applyBorder="1" applyAlignment="1" applyProtection="1">
      <alignment horizontal="center" vertical="center" wrapText="1"/>
      <protection hidden="1"/>
    </xf>
    <xf numFmtId="0" fontId="33" fillId="2" borderId="72" xfId="0" applyFont="1" applyFill="1" applyBorder="1" applyAlignment="1" applyProtection="1">
      <alignment horizontal="center" vertical="center" wrapText="1"/>
      <protection hidden="1"/>
    </xf>
    <xf numFmtId="0" fontId="33" fillId="2" borderId="72" xfId="0" applyFont="1" applyFill="1" applyBorder="1" applyAlignment="1" applyProtection="1">
      <alignment horizontal="center" vertical="center"/>
      <protection hidden="1"/>
    </xf>
    <xf numFmtId="0" fontId="38" fillId="2" borderId="130" xfId="0" applyFont="1" applyFill="1" applyBorder="1" applyAlignment="1" applyProtection="1">
      <alignment horizontal="center" vertical="center" wrapText="1"/>
      <protection hidden="1"/>
    </xf>
    <xf numFmtId="1" fontId="38" fillId="2" borderId="111" xfId="0" applyNumberFormat="1" applyFont="1" applyFill="1" applyBorder="1" applyAlignment="1" applyProtection="1">
      <alignment horizontal="center" vertical="center" wrapText="1"/>
      <protection hidden="1"/>
    </xf>
    <xf numFmtId="1" fontId="38" fillId="2" borderId="130" xfId="0" applyNumberFormat="1" applyFont="1" applyFill="1" applyBorder="1" applyAlignment="1" applyProtection="1">
      <alignment horizontal="center" vertical="center" wrapText="1"/>
      <protection hidden="1"/>
    </xf>
    <xf numFmtId="1" fontId="38" fillId="2" borderId="112" xfId="0" applyNumberFormat="1" applyFont="1" applyFill="1" applyBorder="1" applyAlignment="1" applyProtection="1">
      <alignment horizontal="center" vertical="center" wrapText="1"/>
      <protection hidden="1"/>
    </xf>
    <xf numFmtId="9" fontId="56" fillId="5" borderId="111" xfId="3" applyFont="1" applyFill="1" applyBorder="1" applyAlignment="1" applyProtection="1">
      <alignment horizontal="center" vertical="center"/>
      <protection hidden="1"/>
    </xf>
    <xf numFmtId="9" fontId="56" fillId="5" borderId="112" xfId="3" applyFont="1" applyFill="1" applyBorder="1" applyAlignment="1" applyProtection="1">
      <alignment horizontal="center" vertical="center"/>
      <protection hidden="1"/>
    </xf>
    <xf numFmtId="166" fontId="38" fillId="2" borderId="45" xfId="3" applyNumberFormat="1" applyFont="1" applyFill="1" applyBorder="1" applyAlignment="1" applyProtection="1">
      <alignment horizontal="center" vertical="center" wrapText="1"/>
      <protection hidden="1"/>
    </xf>
    <xf numFmtId="166" fontId="38" fillId="2" borderId="85" xfId="3" applyNumberFormat="1" applyFont="1" applyFill="1" applyBorder="1" applyAlignment="1" applyProtection="1">
      <alignment horizontal="center" vertical="center" wrapText="1"/>
      <protection hidden="1"/>
    </xf>
    <xf numFmtId="0" fontId="38" fillId="2" borderId="116" xfId="0" applyFont="1" applyFill="1" applyBorder="1" applyAlignment="1" applyProtection="1">
      <alignment horizontal="center" vertical="center" wrapText="1"/>
      <protection hidden="1"/>
    </xf>
    <xf numFmtId="166" fontId="60" fillId="5" borderId="209" xfId="3" applyNumberFormat="1" applyFont="1" applyFill="1" applyBorder="1" applyAlignment="1" applyProtection="1">
      <alignment horizontal="center" vertical="center"/>
      <protection hidden="1"/>
    </xf>
    <xf numFmtId="166" fontId="60" fillId="5" borderId="210" xfId="3" applyNumberFormat="1" applyFont="1" applyFill="1" applyBorder="1" applyAlignment="1" applyProtection="1">
      <alignment horizontal="center" vertical="center"/>
      <protection hidden="1"/>
    </xf>
    <xf numFmtId="0" fontId="38" fillId="2" borderId="211" xfId="0" applyFont="1" applyFill="1" applyBorder="1" applyAlignment="1" applyProtection="1">
      <alignment horizontal="center" vertical="center" wrapText="1"/>
      <protection hidden="1"/>
    </xf>
    <xf numFmtId="0" fontId="38" fillId="2" borderId="110" xfId="0" applyFont="1" applyFill="1" applyBorder="1" applyAlignment="1" applyProtection="1">
      <alignment horizontal="center" vertical="center" wrapText="1"/>
      <protection hidden="1"/>
    </xf>
    <xf numFmtId="0" fontId="38" fillId="2" borderId="178" xfId="0" applyFont="1" applyFill="1" applyBorder="1" applyAlignment="1" applyProtection="1">
      <alignment horizontal="center" vertical="center" wrapText="1"/>
      <protection hidden="1"/>
    </xf>
    <xf numFmtId="0" fontId="38" fillId="2" borderId="135" xfId="0" applyFont="1" applyFill="1" applyBorder="1" applyAlignment="1" applyProtection="1">
      <alignment horizontal="center" vertical="center" wrapText="1"/>
      <protection hidden="1"/>
    </xf>
    <xf numFmtId="166" fontId="60" fillId="5" borderId="134" xfId="3" applyNumberFormat="1" applyFont="1" applyFill="1" applyBorder="1" applyAlignment="1" applyProtection="1">
      <alignment horizontal="center" vertical="center"/>
      <protection hidden="1"/>
    </xf>
    <xf numFmtId="166" fontId="60" fillId="5" borderId="178" xfId="3" applyNumberFormat="1" applyFont="1" applyFill="1" applyBorder="1" applyAlignment="1" applyProtection="1">
      <alignment horizontal="center" vertical="center"/>
      <protection hidden="1"/>
    </xf>
    <xf numFmtId="0" fontId="41" fillId="2" borderId="61" xfId="0" applyFont="1" applyFill="1" applyBorder="1" applyAlignment="1" applyProtection="1">
      <alignment horizontal="center" vertical="top"/>
      <protection hidden="1"/>
    </xf>
    <xf numFmtId="0" fontId="41" fillId="2" borderId="137" xfId="0" applyFont="1" applyFill="1" applyBorder="1" applyAlignment="1" applyProtection="1">
      <alignment horizontal="center" vertical="top"/>
      <protection hidden="1"/>
    </xf>
    <xf numFmtId="0" fontId="41" fillId="2" borderId="92" xfId="0" applyFont="1" applyFill="1" applyBorder="1" applyAlignment="1" applyProtection="1">
      <alignment horizontal="center" vertical="top"/>
      <protection hidden="1"/>
    </xf>
    <xf numFmtId="0" fontId="41" fillId="2" borderId="138" xfId="0" applyFont="1" applyFill="1" applyBorder="1" applyAlignment="1" applyProtection="1">
      <alignment horizontal="center" vertical="top"/>
      <protection hidden="1"/>
    </xf>
    <xf numFmtId="166" fontId="60" fillId="5" borderId="61" xfId="3" applyNumberFormat="1" applyFont="1" applyFill="1" applyBorder="1" applyAlignment="1" applyProtection="1">
      <alignment horizontal="center" vertical="center"/>
      <protection hidden="1"/>
    </xf>
    <xf numFmtId="0" fontId="41" fillId="2" borderId="130" xfId="0" applyFont="1" applyFill="1" applyBorder="1" applyAlignment="1" applyProtection="1">
      <alignment horizontal="center" vertical="center" wrapText="1"/>
      <protection hidden="1"/>
    </xf>
    <xf numFmtId="0" fontId="32" fillId="2" borderId="61" xfId="0" applyFont="1" applyFill="1" applyBorder="1" applyAlignment="1" applyProtection="1">
      <alignment horizontal="center" vertical="center"/>
      <protection hidden="1"/>
    </xf>
    <xf numFmtId="0" fontId="63" fillId="2" borderId="125" xfId="0" applyFont="1" applyFill="1" applyBorder="1" applyAlignment="1" applyProtection="1">
      <alignment horizontal="center" vertical="center" wrapText="1"/>
      <protection hidden="1"/>
    </xf>
    <xf numFmtId="0" fontId="38" fillId="2" borderId="119" xfId="0" applyFont="1" applyFill="1" applyBorder="1" applyAlignment="1" applyProtection="1">
      <alignment horizontal="center" vertical="center" wrapText="1"/>
      <protection hidden="1"/>
    </xf>
    <xf numFmtId="0" fontId="38" fillId="2" borderId="125" xfId="0" applyFont="1" applyFill="1" applyBorder="1" applyAlignment="1" applyProtection="1">
      <alignment horizontal="center" vertical="center" wrapText="1"/>
      <protection hidden="1"/>
    </xf>
    <xf numFmtId="0" fontId="38" fillId="2" borderId="120" xfId="0" applyFont="1" applyFill="1" applyBorder="1" applyAlignment="1" applyProtection="1">
      <alignment horizontal="center" vertical="center" wrapText="1"/>
      <protection hidden="1"/>
    </xf>
    <xf numFmtId="0" fontId="38" fillId="2" borderId="121" xfId="0" applyFont="1" applyFill="1" applyBorder="1" applyAlignment="1" applyProtection="1">
      <alignment horizontal="center" vertical="center" wrapText="1"/>
      <protection hidden="1"/>
    </xf>
    <xf numFmtId="0" fontId="38" fillId="2" borderId="59" xfId="0" applyFont="1" applyFill="1" applyBorder="1" applyAlignment="1" applyProtection="1">
      <alignment horizontal="center" vertical="center" wrapText="1"/>
      <protection hidden="1"/>
    </xf>
    <xf numFmtId="0" fontId="38" fillId="2" borderId="60" xfId="0" applyFont="1" applyFill="1" applyBorder="1" applyAlignment="1" applyProtection="1">
      <alignment horizontal="center" vertical="center" wrapText="1"/>
      <protection hidden="1"/>
    </xf>
    <xf numFmtId="10" fontId="38" fillId="2" borderId="119" xfId="0" applyNumberFormat="1" applyFont="1" applyFill="1" applyBorder="1" applyAlignment="1" applyProtection="1">
      <alignment horizontal="center" vertical="center" wrapText="1"/>
      <protection hidden="1"/>
    </xf>
    <xf numFmtId="10" fontId="38" fillId="2" borderId="125" xfId="0" applyNumberFormat="1" applyFont="1" applyFill="1" applyBorder="1" applyAlignment="1" applyProtection="1">
      <alignment horizontal="center" vertical="center" wrapText="1"/>
      <protection hidden="1"/>
    </xf>
    <xf numFmtId="10" fontId="38" fillId="2" borderId="120" xfId="0" applyNumberFormat="1" applyFont="1" applyFill="1" applyBorder="1" applyAlignment="1" applyProtection="1">
      <alignment horizontal="center" vertical="center" wrapText="1"/>
      <protection hidden="1"/>
    </xf>
    <xf numFmtId="10" fontId="38" fillId="2" borderId="121" xfId="0" applyNumberFormat="1" applyFont="1" applyFill="1" applyBorder="1" applyAlignment="1" applyProtection="1">
      <alignment horizontal="center" vertical="center" wrapText="1"/>
      <protection hidden="1"/>
    </xf>
    <xf numFmtId="10" fontId="38" fillId="2" borderId="59" xfId="0" applyNumberFormat="1" applyFont="1" applyFill="1" applyBorder="1" applyAlignment="1" applyProtection="1">
      <alignment horizontal="center" vertical="center" wrapText="1"/>
      <protection hidden="1"/>
    </xf>
    <xf numFmtId="10" fontId="38" fillId="2" borderId="60" xfId="0" applyNumberFormat="1" applyFont="1" applyFill="1" applyBorder="1" applyAlignment="1" applyProtection="1">
      <alignment horizontal="center" vertical="center" wrapText="1"/>
      <protection hidden="1"/>
    </xf>
    <xf numFmtId="3" fontId="38" fillId="2" borderId="111" xfId="0" applyNumberFormat="1" applyFont="1" applyFill="1" applyBorder="1" applyAlignment="1" applyProtection="1">
      <alignment horizontal="center" vertical="center" wrapText="1"/>
      <protection hidden="1"/>
    </xf>
    <xf numFmtId="3" fontId="38" fillId="2" borderId="112" xfId="0" applyNumberFormat="1" applyFont="1" applyFill="1" applyBorder="1" applyAlignment="1" applyProtection="1">
      <alignment horizontal="center" vertical="center" wrapText="1"/>
      <protection hidden="1"/>
    </xf>
    <xf numFmtId="166" fontId="60" fillId="5" borderId="119" xfId="3" applyNumberFormat="1" applyFont="1" applyFill="1" applyBorder="1" applyAlignment="1" applyProtection="1">
      <alignment horizontal="center" vertical="center"/>
      <protection hidden="1"/>
    </xf>
    <xf numFmtId="166" fontId="60" fillId="5" borderId="125" xfId="3" applyNumberFormat="1" applyFont="1" applyFill="1" applyBorder="1" applyAlignment="1" applyProtection="1">
      <alignment horizontal="center" vertical="center"/>
      <protection hidden="1"/>
    </xf>
    <xf numFmtId="166" fontId="60" fillId="5" borderId="120" xfId="3" applyNumberFormat="1" applyFont="1" applyFill="1" applyBorder="1" applyAlignment="1" applyProtection="1">
      <alignment horizontal="center" vertical="center"/>
      <protection hidden="1"/>
    </xf>
    <xf numFmtId="166" fontId="60" fillId="5" borderId="121" xfId="3" applyNumberFormat="1" applyFont="1" applyFill="1" applyBorder="1" applyAlignment="1" applyProtection="1">
      <alignment horizontal="center" vertical="center"/>
      <protection hidden="1"/>
    </xf>
    <xf numFmtId="166" fontId="60" fillId="5" borderId="59" xfId="3" applyNumberFormat="1" applyFont="1" applyFill="1" applyBorder="1" applyAlignment="1" applyProtection="1">
      <alignment horizontal="center" vertical="center"/>
      <protection hidden="1"/>
    </xf>
    <xf numFmtId="166" fontId="60" fillId="5" borderId="60" xfId="3" applyNumberFormat="1" applyFont="1" applyFill="1" applyBorder="1" applyAlignment="1" applyProtection="1">
      <alignment horizontal="center" vertical="center"/>
      <protection hidden="1"/>
    </xf>
    <xf numFmtId="0" fontId="45" fillId="5" borderId="177" xfId="0" applyFont="1" applyFill="1" applyBorder="1" applyAlignment="1" applyProtection="1">
      <alignment horizontal="center" vertical="center" wrapText="1"/>
      <protection hidden="1"/>
    </xf>
    <xf numFmtId="0" fontId="45" fillId="5" borderId="159" xfId="0" applyFont="1" applyFill="1" applyBorder="1" applyAlignment="1" applyProtection="1">
      <alignment horizontal="center" vertical="center" wrapText="1"/>
      <protection hidden="1"/>
    </xf>
    <xf numFmtId="0" fontId="38" fillId="2" borderId="48" xfId="0" quotePrefix="1" applyFont="1" applyFill="1" applyBorder="1" applyAlignment="1" applyProtection="1">
      <alignment horizontal="center" vertical="center" wrapText="1"/>
      <protection hidden="1"/>
    </xf>
    <xf numFmtId="0" fontId="38" fillId="2" borderId="126" xfId="0" quotePrefix="1" applyFont="1" applyFill="1" applyBorder="1" applyAlignment="1" applyProtection="1">
      <alignment horizontal="center" vertical="center" wrapText="1"/>
      <protection hidden="1"/>
    </xf>
    <xf numFmtId="0" fontId="38" fillId="2" borderId="127" xfId="0" quotePrefix="1" applyFont="1" applyFill="1" applyBorder="1" applyAlignment="1" applyProtection="1">
      <alignment horizontal="center" vertical="center" wrapText="1"/>
      <protection hidden="1"/>
    </xf>
    <xf numFmtId="0" fontId="38" fillId="2" borderId="47" xfId="0" quotePrefix="1" applyFont="1" applyFill="1" applyBorder="1" applyAlignment="1" applyProtection="1">
      <alignment horizontal="center" vertical="center" wrapText="1"/>
      <protection hidden="1"/>
    </xf>
    <xf numFmtId="0" fontId="38" fillId="2" borderId="128" xfId="0" quotePrefix="1" applyFont="1" applyFill="1" applyBorder="1" applyAlignment="1" applyProtection="1">
      <alignment horizontal="center" vertical="center" wrapText="1"/>
      <protection hidden="1"/>
    </xf>
    <xf numFmtId="0" fontId="38" fillId="2" borderId="129" xfId="0" quotePrefix="1" applyFont="1" applyFill="1" applyBorder="1" applyAlignment="1" applyProtection="1">
      <alignment horizontal="center" vertical="center" wrapText="1"/>
      <protection hidden="1"/>
    </xf>
    <xf numFmtId="0" fontId="38" fillId="2" borderId="212" xfId="0" applyFont="1" applyFill="1" applyBorder="1" applyAlignment="1" applyProtection="1">
      <alignment horizontal="center" vertical="center" wrapText="1"/>
      <protection hidden="1"/>
    </xf>
    <xf numFmtId="0" fontId="38" fillId="2" borderId="213" xfId="0" applyFont="1" applyFill="1" applyBorder="1" applyAlignment="1" applyProtection="1">
      <alignment horizontal="center" vertical="center" wrapText="1"/>
      <protection hidden="1"/>
    </xf>
    <xf numFmtId="0" fontId="38" fillId="2" borderId="214" xfId="0" applyFont="1" applyFill="1" applyBorder="1" applyAlignment="1" applyProtection="1">
      <alignment horizontal="center" vertical="center" wrapText="1"/>
      <protection hidden="1"/>
    </xf>
    <xf numFmtId="0" fontId="38" fillId="2" borderId="215" xfId="0" applyFont="1" applyFill="1" applyBorder="1" applyAlignment="1" applyProtection="1">
      <alignment horizontal="center" vertical="center" wrapText="1"/>
      <protection hidden="1"/>
    </xf>
    <xf numFmtId="0" fontId="38" fillId="2" borderId="216" xfId="0" applyFont="1" applyFill="1" applyBorder="1" applyAlignment="1" applyProtection="1">
      <alignment horizontal="center" vertical="center" wrapText="1"/>
      <protection hidden="1"/>
    </xf>
    <xf numFmtId="0" fontId="38" fillId="2" borderId="217" xfId="0" applyFont="1" applyFill="1" applyBorder="1" applyAlignment="1" applyProtection="1">
      <alignment horizontal="center" vertical="center" wrapText="1"/>
      <protection hidden="1"/>
    </xf>
    <xf numFmtId="0" fontId="38" fillId="2" borderId="218" xfId="0" applyFont="1" applyFill="1" applyBorder="1" applyAlignment="1" applyProtection="1">
      <alignment horizontal="center" vertical="center" wrapText="1"/>
      <protection hidden="1"/>
    </xf>
    <xf numFmtId="0" fontId="38" fillId="2" borderId="219" xfId="0" applyFont="1" applyFill="1" applyBorder="1" applyAlignment="1" applyProtection="1">
      <alignment horizontal="center" vertical="center" wrapText="1"/>
      <protection hidden="1"/>
    </xf>
    <xf numFmtId="0" fontId="28" fillId="2" borderId="212" xfId="0" applyFont="1" applyFill="1" applyBorder="1" applyAlignment="1" applyProtection="1">
      <alignment horizontal="center" vertical="center" wrapText="1"/>
      <protection hidden="1"/>
    </xf>
    <xf numFmtId="0" fontId="28" fillId="2" borderId="214" xfId="0" applyFont="1" applyFill="1" applyBorder="1" applyAlignment="1" applyProtection="1">
      <alignment horizontal="center" vertical="center" wrapText="1"/>
      <protection hidden="1"/>
    </xf>
    <xf numFmtId="0" fontId="28" fillId="2" borderId="215" xfId="0" applyFont="1" applyFill="1" applyBorder="1" applyAlignment="1" applyProtection="1">
      <alignment horizontal="center" vertical="center" wrapText="1"/>
      <protection hidden="1"/>
    </xf>
    <xf numFmtId="0" fontId="28" fillId="2" borderId="216" xfId="0" applyFont="1" applyFill="1" applyBorder="1" applyAlignment="1" applyProtection="1">
      <alignment horizontal="center" vertical="center" wrapText="1"/>
      <protection hidden="1"/>
    </xf>
    <xf numFmtId="0" fontId="28" fillId="2" borderId="217" xfId="0" applyFont="1" applyFill="1" applyBorder="1" applyAlignment="1" applyProtection="1">
      <alignment horizontal="center" vertical="center" wrapText="1"/>
      <protection hidden="1"/>
    </xf>
    <xf numFmtId="0" fontId="28" fillId="2" borderId="219" xfId="0" applyFont="1" applyFill="1" applyBorder="1" applyAlignment="1" applyProtection="1">
      <alignment horizontal="center" vertical="center" wrapText="1"/>
      <protection hidden="1"/>
    </xf>
    <xf numFmtId="0" fontId="33" fillId="2" borderId="61" xfId="0" applyFont="1" applyFill="1" applyBorder="1" applyAlignment="1" applyProtection="1">
      <alignment horizontal="center" vertical="center" wrapText="1"/>
      <protection hidden="1"/>
    </xf>
    <xf numFmtId="9" fontId="68" fillId="0" borderId="122" xfId="3" applyFont="1" applyFill="1" applyBorder="1" applyAlignment="1" applyProtection="1">
      <alignment horizontal="center" vertical="center" wrapText="1"/>
      <protection hidden="1"/>
    </xf>
    <xf numFmtId="9" fontId="56" fillId="5" borderId="139" xfId="3" applyFont="1" applyFill="1" applyBorder="1" applyAlignment="1" applyProtection="1">
      <alignment horizontal="center" vertical="center"/>
      <protection hidden="1"/>
    </xf>
    <xf numFmtId="1" fontId="38" fillId="2" borderId="0" xfId="0" applyNumberFormat="1" applyFont="1" applyFill="1" applyAlignment="1" applyProtection="1">
      <alignment horizontal="center" vertical="center" wrapText="1"/>
      <protection hidden="1"/>
    </xf>
    <xf numFmtId="9" fontId="56" fillId="5" borderId="175" xfId="3" applyFont="1" applyFill="1" applyBorder="1" applyAlignment="1" applyProtection="1">
      <alignment horizontal="center" vertical="center"/>
      <protection hidden="1"/>
    </xf>
    <xf numFmtId="166" fontId="60" fillId="2" borderId="0" xfId="3" applyNumberFormat="1" applyFont="1" applyFill="1" applyBorder="1" applyAlignment="1" applyProtection="1">
      <alignment horizontal="center" vertical="center"/>
      <protection hidden="1"/>
    </xf>
    <xf numFmtId="10" fontId="38" fillId="2" borderId="0" xfId="0" applyNumberFormat="1" applyFont="1" applyFill="1" applyAlignment="1" applyProtection="1">
      <alignment horizontal="center" vertical="center" wrapText="1"/>
      <protection hidden="1"/>
    </xf>
    <xf numFmtId="166" fontId="70" fillId="5" borderId="117" xfId="3" applyNumberFormat="1" applyFont="1" applyFill="1" applyBorder="1" applyAlignment="1" applyProtection="1">
      <alignment horizontal="center" vertical="center"/>
      <protection hidden="1"/>
    </xf>
    <xf numFmtId="166" fontId="70" fillId="5" borderId="161" xfId="3" applyNumberFormat="1" applyFont="1" applyFill="1" applyBorder="1" applyAlignment="1" applyProtection="1">
      <alignment horizontal="center" vertical="center"/>
      <protection hidden="1"/>
    </xf>
    <xf numFmtId="0" fontId="28" fillId="2" borderId="90" xfId="0" applyFont="1" applyFill="1" applyBorder="1" applyAlignment="1" applyProtection="1">
      <alignment horizontal="center" vertical="center" wrapText="1"/>
      <protection hidden="1"/>
    </xf>
    <xf numFmtId="0" fontId="28" fillId="2" borderId="221" xfId="0" applyFont="1" applyFill="1" applyBorder="1" applyAlignment="1" applyProtection="1">
      <alignment horizontal="center" vertical="center" wrapText="1"/>
      <protection hidden="1"/>
    </xf>
    <xf numFmtId="9" fontId="42" fillId="2" borderId="104" xfId="3" applyFont="1" applyFill="1" applyBorder="1" applyAlignment="1" applyProtection="1">
      <alignment horizontal="center" vertical="center"/>
      <protection hidden="1"/>
    </xf>
    <xf numFmtId="0" fontId="2" fillId="2" borderId="46" xfId="0" quotePrefix="1" applyFont="1" applyFill="1" applyBorder="1" applyAlignment="1" applyProtection="1">
      <alignment horizontal="center" vertical="center" wrapText="1"/>
      <protection hidden="1"/>
    </xf>
    <xf numFmtId="0" fontId="2" fillId="2" borderId="49" xfId="0" quotePrefix="1" applyFont="1" applyFill="1" applyBorder="1" applyAlignment="1" applyProtection="1">
      <alignment horizontal="center" vertical="center" wrapText="1"/>
      <protection hidden="1"/>
    </xf>
    <xf numFmtId="0" fontId="2" fillId="2" borderId="51" xfId="0" quotePrefix="1" applyFont="1" applyFill="1" applyBorder="1" applyAlignment="1" applyProtection="1">
      <alignment horizontal="center" vertical="center" wrapText="1"/>
      <protection hidden="1"/>
    </xf>
    <xf numFmtId="0" fontId="2" fillId="2" borderId="134" xfId="0" quotePrefix="1" applyFont="1" applyFill="1" applyBorder="1" applyAlignment="1" applyProtection="1">
      <alignment horizontal="center" vertical="center" wrapText="1"/>
      <protection hidden="1"/>
    </xf>
    <xf numFmtId="0" fontId="2" fillId="2" borderId="178" xfId="0" quotePrefix="1" applyFont="1" applyFill="1" applyBorder="1" applyAlignment="1" applyProtection="1">
      <alignment horizontal="center" vertical="center" wrapText="1"/>
      <protection hidden="1"/>
    </xf>
    <xf numFmtId="0" fontId="2" fillId="2" borderId="135" xfId="0" quotePrefix="1" applyFont="1" applyFill="1" applyBorder="1" applyAlignment="1" applyProtection="1">
      <alignment horizontal="center" vertical="center" wrapText="1"/>
      <protection hidden="1"/>
    </xf>
    <xf numFmtId="1" fontId="33" fillId="0" borderId="53" xfId="0" applyNumberFormat="1" applyFont="1" applyBorder="1" applyAlignment="1" applyProtection="1">
      <alignment horizontal="center" vertical="center" wrapText="1"/>
      <protection hidden="1"/>
    </xf>
    <xf numFmtId="0" fontId="42" fillId="2" borderId="72" xfId="0" applyFont="1" applyFill="1" applyBorder="1" applyAlignment="1" applyProtection="1">
      <alignment horizontal="center" vertical="center" wrapText="1"/>
      <protection hidden="1"/>
    </xf>
    <xf numFmtId="0" fontId="42" fillId="2" borderId="72" xfId="0" applyFont="1" applyFill="1" applyBorder="1" applyAlignment="1" applyProtection="1">
      <alignment horizontal="center" vertical="center"/>
      <protection hidden="1"/>
    </xf>
    <xf numFmtId="0" fontId="28" fillId="2" borderId="0" xfId="0" applyFont="1" applyFill="1" applyAlignment="1" applyProtection="1">
      <alignment horizontal="left" vertical="center" wrapText="1"/>
      <protection hidden="1"/>
    </xf>
    <xf numFmtId="166" fontId="70" fillId="5" borderId="118" xfId="3" applyNumberFormat="1" applyFont="1" applyFill="1" applyBorder="1" applyAlignment="1" applyProtection="1">
      <alignment horizontal="center" vertical="center"/>
      <protection hidden="1"/>
    </xf>
    <xf numFmtId="166" fontId="70" fillId="5" borderId="77" xfId="3" applyNumberFormat="1" applyFont="1" applyFill="1" applyBorder="1" applyAlignment="1" applyProtection="1">
      <alignment horizontal="center" vertical="center"/>
      <protection hidden="1"/>
    </xf>
    <xf numFmtId="166" fontId="70" fillId="5" borderId="113" xfId="3" applyNumberFormat="1" applyFont="1" applyFill="1" applyBorder="1" applyAlignment="1" applyProtection="1">
      <alignment horizontal="center" vertical="center"/>
      <protection hidden="1"/>
    </xf>
    <xf numFmtId="166" fontId="70" fillId="5" borderId="220" xfId="3" applyNumberFormat="1" applyFont="1" applyFill="1" applyBorder="1" applyAlignment="1" applyProtection="1">
      <alignment horizontal="center" vertical="center"/>
      <protection hidden="1"/>
    </xf>
    <xf numFmtId="0" fontId="46" fillId="0" borderId="53" xfId="0" applyFont="1" applyBorder="1" applyAlignment="1" applyProtection="1">
      <alignment horizontal="center" vertical="center" wrapText="1"/>
      <protection hidden="1"/>
    </xf>
    <xf numFmtId="9" fontId="46" fillId="0" borderId="53" xfId="3" applyFont="1" applyFill="1" applyBorder="1" applyAlignment="1" applyProtection="1">
      <alignment horizontal="center" vertical="center" wrapText="1"/>
      <protection hidden="1"/>
    </xf>
    <xf numFmtId="0" fontId="43" fillId="2" borderId="104" xfId="0" applyFont="1" applyFill="1" applyBorder="1" applyAlignment="1" applyProtection="1">
      <alignment horizontal="center" vertical="center" wrapText="1"/>
      <protection hidden="1"/>
    </xf>
    <xf numFmtId="0" fontId="28" fillId="2" borderId="220" xfId="0" applyFont="1" applyFill="1" applyBorder="1" applyAlignment="1" applyProtection="1">
      <alignment horizontal="center" vertical="center" wrapText="1"/>
      <protection hidden="1"/>
    </xf>
    <xf numFmtId="0" fontId="28" fillId="2" borderId="222" xfId="0" applyFont="1" applyFill="1" applyBorder="1" applyAlignment="1" applyProtection="1">
      <alignment horizontal="center" vertical="center" wrapText="1"/>
      <protection hidden="1"/>
    </xf>
    <xf numFmtId="0" fontId="31" fillId="5" borderId="111" xfId="0" applyFont="1" applyFill="1" applyBorder="1" applyAlignment="1" applyProtection="1">
      <alignment horizontal="center" vertical="center"/>
      <protection hidden="1"/>
    </xf>
    <xf numFmtId="0" fontId="31" fillId="5" borderId="112" xfId="0" applyFont="1" applyFill="1" applyBorder="1" applyAlignment="1" applyProtection="1">
      <alignment horizontal="center" vertical="center"/>
      <protection hidden="1"/>
    </xf>
    <xf numFmtId="0" fontId="31" fillId="5" borderId="61" xfId="0" applyFont="1" applyFill="1" applyBorder="1" applyAlignment="1" applyProtection="1">
      <alignment horizontal="center" vertical="center"/>
      <protection hidden="1"/>
    </xf>
    <xf numFmtId="9" fontId="56" fillId="5" borderId="104" xfId="3" applyFont="1" applyFill="1" applyBorder="1" applyAlignment="1" applyProtection="1">
      <alignment horizontal="center" vertical="center"/>
      <protection hidden="1"/>
    </xf>
    <xf numFmtId="0" fontId="32" fillId="2" borderId="111" xfId="0" applyFont="1" applyFill="1" applyBorder="1" applyAlignment="1" applyProtection="1">
      <alignment horizontal="center" vertical="center"/>
      <protection hidden="1"/>
    </xf>
    <xf numFmtId="0" fontId="32" fillId="2" borderId="130"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hidden="1"/>
    </xf>
    <xf numFmtId="9" fontId="46" fillId="0" borderId="61" xfId="3" applyFont="1" applyFill="1" applyBorder="1" applyAlignment="1" applyProtection="1">
      <alignment horizontal="center" vertical="center" wrapText="1"/>
      <protection hidden="1"/>
    </xf>
    <xf numFmtId="1" fontId="33" fillId="0" borderId="61" xfId="0" applyNumberFormat="1" applyFont="1" applyBorder="1" applyAlignment="1" applyProtection="1">
      <alignment horizontal="center" vertical="center" wrapText="1"/>
      <protection hidden="1"/>
    </xf>
    <xf numFmtId="0" fontId="37" fillId="2" borderId="89" xfId="0" applyFont="1" applyFill="1" applyBorder="1" applyAlignment="1" applyProtection="1">
      <alignment horizontal="center" vertical="center" wrapText="1"/>
      <protection hidden="1"/>
    </xf>
    <xf numFmtId="0" fontId="37" fillId="2" borderId="90" xfId="0" applyFont="1" applyFill="1" applyBorder="1" applyAlignment="1" applyProtection="1">
      <alignment horizontal="center" vertical="center" wrapText="1"/>
      <protection hidden="1"/>
    </xf>
    <xf numFmtId="0" fontId="37" fillId="2" borderId="91" xfId="0" applyFont="1" applyFill="1" applyBorder="1" applyAlignment="1" applyProtection="1">
      <alignment horizontal="center" vertical="center" wrapText="1"/>
      <protection hidden="1"/>
    </xf>
    <xf numFmtId="0" fontId="37" fillId="2" borderId="75" xfId="0" applyFont="1" applyFill="1" applyBorder="1" applyAlignment="1" applyProtection="1">
      <alignment horizontal="center" vertical="center" wrapText="1"/>
      <protection hidden="1"/>
    </xf>
    <xf numFmtId="0" fontId="37" fillId="2" borderId="92" xfId="0" applyFont="1" applyFill="1" applyBorder="1" applyAlignment="1" applyProtection="1">
      <alignment horizontal="center" vertical="center" wrapText="1"/>
      <protection hidden="1"/>
    </xf>
    <xf numFmtId="0" fontId="37" fillId="2" borderId="93" xfId="0" applyFont="1" applyFill="1" applyBorder="1" applyAlignment="1" applyProtection="1">
      <alignment horizontal="center" vertical="center" wrapText="1"/>
      <protection hidden="1"/>
    </xf>
    <xf numFmtId="165" fontId="38" fillId="2" borderId="223" xfId="2" applyFont="1" applyFill="1" applyBorder="1" applyAlignment="1" applyProtection="1">
      <alignment horizontal="center" vertical="center" wrapText="1"/>
      <protection hidden="1"/>
    </xf>
    <xf numFmtId="165" fontId="38" fillId="2" borderId="210" xfId="2" applyFont="1" applyFill="1" applyBorder="1" applyAlignment="1" applyProtection="1">
      <alignment horizontal="center" vertical="center" wrapText="1"/>
      <protection hidden="1"/>
    </xf>
    <xf numFmtId="165" fontId="38" fillId="2" borderId="224" xfId="2"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85" xfId="0" applyFont="1" applyFill="1" applyBorder="1" applyAlignment="1" applyProtection="1">
      <alignment horizontal="center" vertical="center" wrapText="1"/>
      <protection hidden="1"/>
    </xf>
    <xf numFmtId="165" fontId="38" fillId="2" borderId="225" xfId="2" applyFont="1" applyFill="1" applyBorder="1" applyAlignment="1" applyProtection="1">
      <alignment horizontal="center" vertical="center" wrapText="1"/>
      <protection hidden="1"/>
    </xf>
    <xf numFmtId="165" fontId="38" fillId="2" borderId="49" xfId="2" applyFont="1" applyFill="1" applyBorder="1" applyAlignment="1" applyProtection="1">
      <alignment horizontal="center" vertical="center" wrapText="1"/>
      <protection hidden="1"/>
    </xf>
    <xf numFmtId="165" fontId="38" fillId="2" borderId="51" xfId="2" applyFont="1"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54" fillId="2" borderId="0" xfId="0" applyFont="1" applyFill="1" applyAlignment="1" applyProtection="1">
      <alignment horizontal="center" vertical="center" wrapText="1"/>
      <protection hidden="1"/>
    </xf>
    <xf numFmtId="0" fontId="54" fillId="2" borderId="48" xfId="0" applyFont="1" applyFill="1" applyBorder="1" applyAlignment="1" applyProtection="1">
      <alignment horizontal="center" vertical="center" wrapText="1"/>
      <protection hidden="1"/>
    </xf>
    <xf numFmtId="0" fontId="54" fillId="2" borderId="126" xfId="0" applyFont="1" applyFill="1" applyBorder="1" applyAlignment="1" applyProtection="1">
      <alignment horizontal="center" vertical="center" wrapText="1"/>
      <protection hidden="1"/>
    </xf>
    <xf numFmtId="0" fontId="54" fillId="2" borderId="127" xfId="0" applyFont="1" applyFill="1" applyBorder="1" applyAlignment="1" applyProtection="1">
      <alignment horizontal="center" vertical="center" wrapText="1"/>
      <protection hidden="1"/>
    </xf>
    <xf numFmtId="0" fontId="54" fillId="2" borderId="55" xfId="0" applyFont="1" applyFill="1" applyBorder="1" applyAlignment="1" applyProtection="1">
      <alignment horizontal="center" vertical="center" wrapText="1"/>
      <protection hidden="1"/>
    </xf>
    <xf numFmtId="0" fontId="54" fillId="2" borderId="182" xfId="0" applyFont="1" applyFill="1" applyBorder="1" applyAlignment="1" applyProtection="1">
      <alignment horizontal="center" vertical="center" wrapText="1"/>
      <protection hidden="1"/>
    </xf>
    <xf numFmtId="0" fontId="54" fillId="2" borderId="47" xfId="0" applyFont="1" applyFill="1" applyBorder="1" applyAlignment="1" applyProtection="1">
      <alignment horizontal="center" vertical="center" wrapText="1"/>
      <protection hidden="1"/>
    </xf>
    <xf numFmtId="0" fontId="54" fillId="2" borderId="128" xfId="0" applyFont="1" applyFill="1" applyBorder="1" applyAlignment="1" applyProtection="1">
      <alignment horizontal="center" vertical="center" wrapText="1"/>
      <protection hidden="1"/>
    </xf>
    <xf numFmtId="0" fontId="54" fillId="2" borderId="129" xfId="0" applyFont="1" applyFill="1" applyBorder="1" applyAlignment="1" applyProtection="1">
      <alignment horizontal="center" vertical="center" wrapText="1"/>
      <protection hidden="1"/>
    </xf>
    <xf numFmtId="9" fontId="38" fillId="2" borderId="72" xfId="0" applyNumberFormat="1" applyFont="1" applyFill="1" applyBorder="1" applyAlignment="1" applyProtection="1">
      <alignment horizontal="center" vertical="center" wrapText="1"/>
      <protection hidden="1"/>
    </xf>
    <xf numFmtId="0" fontId="39" fillId="2" borderId="79" xfId="0" applyFont="1" applyFill="1" applyBorder="1" applyAlignment="1" applyProtection="1">
      <alignment horizontal="center" vertical="top"/>
      <protection hidden="1"/>
    </xf>
    <xf numFmtId="0" fontId="39" fillId="2" borderId="80" xfId="0" applyFont="1" applyFill="1" applyBorder="1" applyAlignment="1" applyProtection="1">
      <alignment horizontal="center" vertical="top"/>
      <protection hidden="1"/>
    </xf>
    <xf numFmtId="0" fontId="39" fillId="2" borderId="81" xfId="0" applyFont="1" applyFill="1" applyBorder="1" applyAlignment="1" applyProtection="1">
      <alignment horizontal="center" vertical="top"/>
      <protection hidden="1"/>
    </xf>
    <xf numFmtId="166" fontId="45" fillId="5" borderId="45" xfId="0" applyNumberFormat="1" applyFont="1" applyFill="1" applyBorder="1" applyAlignment="1" applyProtection="1">
      <alignment horizontal="center" vertical="center" wrapText="1"/>
      <protection hidden="1"/>
    </xf>
    <xf numFmtId="166" fontId="45" fillId="5" borderId="77" xfId="0" applyNumberFormat="1" applyFont="1" applyFill="1" applyBorder="1" applyAlignment="1" applyProtection="1">
      <alignment horizontal="center" vertical="center" wrapText="1"/>
      <protection hidden="1"/>
    </xf>
    <xf numFmtId="166" fontId="45" fillId="5" borderId="85" xfId="0" applyNumberFormat="1" applyFont="1" applyFill="1" applyBorder="1" applyAlignment="1" applyProtection="1">
      <alignment horizontal="center" vertical="center" wrapText="1"/>
      <protection hidden="1"/>
    </xf>
    <xf numFmtId="1" fontId="38" fillId="2" borderId="226" xfId="0" applyNumberFormat="1" applyFont="1" applyFill="1" applyBorder="1" applyAlignment="1" applyProtection="1">
      <alignment horizontal="center" vertical="center" wrapText="1"/>
      <protection hidden="1"/>
    </xf>
    <xf numFmtId="1" fontId="38" fillId="2" borderId="227" xfId="0" applyNumberFormat="1" applyFont="1" applyFill="1" applyBorder="1" applyAlignment="1" applyProtection="1">
      <alignment horizontal="center" vertical="center" wrapText="1"/>
      <protection hidden="1"/>
    </xf>
    <xf numFmtId="1" fontId="38" fillId="2" borderId="228" xfId="0" applyNumberFormat="1" applyFont="1" applyFill="1" applyBorder="1" applyAlignment="1" applyProtection="1">
      <alignment horizontal="center" vertical="center" wrapText="1"/>
      <protection hidden="1"/>
    </xf>
    <xf numFmtId="9" fontId="33" fillId="2" borderId="46" xfId="3" applyFont="1" applyFill="1" applyBorder="1" applyAlignment="1" applyProtection="1">
      <alignment horizontal="center" vertical="center" wrapText="1"/>
      <protection hidden="1"/>
    </xf>
    <xf numFmtId="9" fontId="33" fillId="2" borderId="49" xfId="3" applyFont="1" applyFill="1" applyBorder="1" applyAlignment="1" applyProtection="1">
      <alignment horizontal="center" vertical="center" wrapText="1"/>
      <protection hidden="1"/>
    </xf>
    <xf numFmtId="9" fontId="33" fillId="2" borderId="51" xfId="3" applyFont="1" applyFill="1" applyBorder="1" applyAlignment="1" applyProtection="1">
      <alignment horizontal="center" vertical="center" wrapText="1"/>
      <protection hidden="1"/>
    </xf>
    <xf numFmtId="0" fontId="57" fillId="2" borderId="46" xfId="0" applyFont="1" applyFill="1" applyBorder="1" applyAlignment="1" applyProtection="1">
      <alignment horizontal="center" vertical="center" wrapText="1"/>
      <protection hidden="1"/>
    </xf>
    <xf numFmtId="0" fontId="57" fillId="2" borderId="49" xfId="0" applyFont="1" applyFill="1" applyBorder="1" applyAlignment="1" applyProtection="1">
      <alignment horizontal="center" vertical="center" wrapText="1"/>
      <protection hidden="1"/>
    </xf>
    <xf numFmtId="0" fontId="57" fillId="2" borderId="51" xfId="0" applyFont="1" applyFill="1" applyBorder="1" applyAlignment="1" applyProtection="1">
      <alignment horizontal="center" vertical="center" wrapText="1"/>
      <protection hidden="1"/>
    </xf>
    <xf numFmtId="0" fontId="0" fillId="2" borderId="49" xfId="0" applyFill="1" applyBorder="1" applyAlignment="1" applyProtection="1">
      <alignment horizontal="left" vertical="center" wrapText="1"/>
      <protection hidden="1"/>
    </xf>
    <xf numFmtId="0" fontId="0" fillId="2" borderId="51" xfId="0" applyFill="1" applyBorder="1" applyAlignment="1" applyProtection="1">
      <alignment horizontal="left" vertical="center" wrapText="1"/>
      <protection hidden="1"/>
    </xf>
    <xf numFmtId="0" fontId="33" fillId="2" borderId="53" xfId="0" applyFont="1" applyFill="1" applyBorder="1" applyAlignment="1" applyProtection="1">
      <alignment horizontal="center" vertical="center" wrapText="1"/>
      <protection hidden="1"/>
    </xf>
    <xf numFmtId="0" fontId="51" fillId="2" borderId="43" xfId="0" quotePrefix="1" applyFont="1" applyFill="1" applyBorder="1" applyAlignment="1">
      <alignment horizontal="center" vertical="center" wrapText="1"/>
    </xf>
    <xf numFmtId="0" fontId="51" fillId="2" borderId="6" xfId="0" quotePrefix="1" applyFont="1" applyFill="1" applyBorder="1" applyAlignment="1">
      <alignment horizontal="center" vertical="center" wrapText="1"/>
    </xf>
    <xf numFmtId="0" fontId="43" fillId="2" borderId="46" xfId="0" applyFont="1" applyFill="1" applyBorder="1" applyAlignment="1">
      <alignment horizontal="center" vertical="center" wrapText="1"/>
    </xf>
    <xf numFmtId="0" fontId="43" fillId="2" borderId="49" xfId="0" applyFont="1" applyFill="1" applyBorder="1" applyAlignment="1">
      <alignment horizontal="center" vertical="center" wrapText="1"/>
    </xf>
    <xf numFmtId="0" fontId="43" fillId="2" borderId="51" xfId="0" applyFont="1" applyFill="1" applyBorder="1" applyAlignment="1">
      <alignment horizontal="center" vertical="center" wrapText="1"/>
    </xf>
    <xf numFmtId="3" fontId="33" fillId="2" borderId="53" xfId="0" applyNumberFormat="1" applyFont="1" applyFill="1" applyBorder="1" applyAlignment="1">
      <alignment horizontal="center" vertical="center" wrapText="1"/>
    </xf>
    <xf numFmtId="0" fontId="33" fillId="2" borderId="53" xfId="0" quotePrefix="1" applyFont="1" applyFill="1" applyBorder="1" applyAlignment="1">
      <alignment horizontal="center" vertical="center"/>
    </xf>
    <xf numFmtId="0" fontId="43" fillId="2" borderId="46" xfId="0" quotePrefix="1" applyFont="1" applyFill="1" applyBorder="1" applyAlignment="1">
      <alignment horizontal="center" vertical="center" wrapText="1"/>
    </xf>
    <xf numFmtId="0" fontId="43" fillId="2" borderId="49" xfId="0" quotePrefix="1" applyFont="1" applyFill="1" applyBorder="1" applyAlignment="1">
      <alignment horizontal="center" vertical="center" wrapText="1"/>
    </xf>
    <xf numFmtId="0" fontId="43" fillId="2" borderId="51" xfId="0" quotePrefix="1" applyFont="1" applyFill="1" applyBorder="1" applyAlignment="1">
      <alignment horizontal="center" vertical="center" wrapText="1"/>
    </xf>
    <xf numFmtId="0" fontId="33" fillId="2" borderId="53" xfId="0" quotePrefix="1" applyFont="1" applyFill="1" applyBorder="1" applyAlignment="1">
      <alignment horizontal="left" vertical="center"/>
    </xf>
    <xf numFmtId="3" fontId="46" fillId="2" borderId="53" xfId="0" quotePrefix="1" applyNumberFormat="1" applyFont="1" applyFill="1" applyBorder="1" applyAlignment="1">
      <alignment horizontal="center" vertical="center" wrapText="1"/>
    </xf>
    <xf numFmtId="0" fontId="46" fillId="2" borderId="53" xfId="0" quotePrefix="1" applyFont="1" applyFill="1" applyBorder="1" applyAlignment="1">
      <alignment horizontal="center" vertical="center" wrapText="1"/>
    </xf>
    <xf numFmtId="3" fontId="33" fillId="2" borderId="46" xfId="0" applyNumberFormat="1" applyFont="1" applyFill="1" applyBorder="1" applyAlignment="1">
      <alignment horizontal="center" vertical="center" wrapText="1"/>
    </xf>
    <xf numFmtId="3" fontId="33" fillId="2" borderId="49" xfId="0" applyNumberFormat="1" applyFont="1" applyFill="1" applyBorder="1" applyAlignment="1">
      <alignment horizontal="center" vertical="center" wrapText="1"/>
    </xf>
    <xf numFmtId="3" fontId="33" fillId="2" borderId="51" xfId="0" applyNumberFormat="1" applyFont="1" applyFill="1" applyBorder="1" applyAlignment="1">
      <alignment horizontal="center" vertical="center" wrapText="1"/>
    </xf>
    <xf numFmtId="0" fontId="46" fillId="2" borderId="53" xfId="0" applyFont="1" applyFill="1" applyBorder="1" applyAlignment="1">
      <alignment horizontal="left" vertical="center" wrapText="1" indent="1"/>
    </xf>
    <xf numFmtId="3" fontId="46" fillId="2" borderId="53" xfId="0" applyNumberFormat="1" applyFont="1" applyFill="1" applyBorder="1" applyAlignment="1">
      <alignment horizontal="center" vertical="center" wrapText="1"/>
    </xf>
    <xf numFmtId="0" fontId="33" fillId="2" borderId="46" xfId="0" quotePrefix="1" applyFont="1" applyFill="1" applyBorder="1" applyAlignment="1">
      <alignment horizontal="left" vertical="center"/>
    </xf>
    <xf numFmtId="0" fontId="33" fillId="2" borderId="49" xfId="0" quotePrefix="1" applyFont="1" applyFill="1" applyBorder="1" applyAlignment="1">
      <alignment horizontal="left" vertical="center"/>
    </xf>
    <xf numFmtId="0" fontId="33" fillId="2" borderId="51" xfId="0" quotePrefix="1" applyFont="1" applyFill="1" applyBorder="1" applyAlignment="1">
      <alignment horizontal="left" vertical="center"/>
    </xf>
    <xf numFmtId="0" fontId="46" fillId="2" borderId="53" xfId="0" quotePrefix="1" applyFont="1" applyFill="1" applyBorder="1" applyAlignment="1">
      <alignment horizontal="center" vertical="center"/>
    </xf>
    <xf numFmtId="0" fontId="57" fillId="2" borderId="53" xfId="0" applyFont="1" applyFill="1" applyBorder="1" applyAlignment="1" applyProtection="1">
      <alignment horizontal="center" vertical="center" wrapText="1"/>
      <protection hidden="1"/>
    </xf>
    <xf numFmtId="1" fontId="53" fillId="2" borderId="53" xfId="0" quotePrefix="1" applyNumberFormat="1" applyFont="1" applyFill="1" applyBorder="1" applyAlignment="1" applyProtection="1">
      <alignment horizontal="center" vertical="center" wrapText="1"/>
      <protection hidden="1"/>
    </xf>
    <xf numFmtId="0" fontId="33" fillId="2" borderId="0" xfId="0" quotePrefix="1" applyFont="1" applyFill="1" applyAlignment="1" applyProtection="1">
      <alignment horizontal="left" vertical="top" wrapText="1" indent="1"/>
      <protection hidden="1"/>
    </xf>
    <xf numFmtId="9" fontId="33" fillId="2" borderId="5" xfId="0" applyNumberFormat="1" applyFont="1" applyFill="1" applyBorder="1" applyAlignment="1" applyProtection="1">
      <alignment horizontal="center" vertical="center" wrapText="1"/>
      <protection hidden="1"/>
    </xf>
    <xf numFmtId="9" fontId="33" fillId="2" borderId="2" xfId="0" applyNumberFormat="1" applyFont="1" applyFill="1" applyBorder="1" applyAlignment="1" applyProtection="1">
      <alignment horizontal="center" vertical="center" wrapText="1"/>
      <protection hidden="1"/>
    </xf>
    <xf numFmtId="1" fontId="52" fillId="2" borderId="53" xfId="0" quotePrefix="1" applyNumberFormat="1" applyFont="1" applyFill="1" applyBorder="1" applyAlignment="1" applyProtection="1">
      <alignment horizontal="center" vertical="center" wrapText="1"/>
      <protection hidden="1"/>
    </xf>
    <xf numFmtId="0" fontId="46" fillId="2" borderId="53" xfId="0" applyFont="1" applyFill="1" applyBorder="1" applyAlignment="1" applyProtection="1">
      <alignment horizontal="center" vertical="center" wrapText="1"/>
      <protection hidden="1"/>
    </xf>
    <xf numFmtId="1" fontId="53" fillId="2" borderId="46" xfId="0" quotePrefix="1" applyNumberFormat="1" applyFont="1" applyFill="1" applyBorder="1" applyAlignment="1" applyProtection="1">
      <alignment horizontal="center" vertical="center" wrapText="1"/>
      <protection hidden="1"/>
    </xf>
    <xf numFmtId="1" fontId="53" fillId="2" borderId="51" xfId="0" quotePrefix="1" applyNumberFormat="1" applyFont="1" applyFill="1" applyBorder="1" applyAlignment="1" applyProtection="1">
      <alignment horizontal="center" vertical="center" wrapText="1"/>
      <protection hidden="1"/>
    </xf>
    <xf numFmtId="9" fontId="33" fillId="2" borderId="53" xfId="0" applyNumberFormat="1"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52" fillId="2" borderId="53" xfId="0" quotePrefix="1" applyFont="1" applyFill="1" applyBorder="1" applyAlignment="1" applyProtection="1">
      <alignment horizontal="center" vertical="center" wrapText="1"/>
      <protection hidden="1"/>
    </xf>
    <xf numFmtId="0" fontId="53" fillId="2" borderId="44" xfId="0" quotePrefix="1" applyFont="1" applyFill="1" applyBorder="1" applyAlignment="1" applyProtection="1">
      <alignment horizontal="center" vertical="center" wrapText="1"/>
      <protection hidden="1"/>
    </xf>
    <xf numFmtId="0" fontId="53" fillId="2" borderId="9" xfId="0" quotePrefix="1" applyFont="1" applyFill="1" applyBorder="1" applyAlignment="1" applyProtection="1">
      <alignment horizontal="center" vertical="center" wrapText="1"/>
      <protection hidden="1"/>
    </xf>
    <xf numFmtId="9" fontId="33" fillId="2" borderId="46" xfId="0" applyNumberFormat="1" applyFont="1" applyFill="1" applyBorder="1" applyAlignment="1" applyProtection="1">
      <alignment horizontal="center" vertical="center" wrapText="1"/>
      <protection hidden="1"/>
    </xf>
    <xf numFmtId="9" fontId="33" fillId="2" borderId="51" xfId="0" applyNumberFormat="1" applyFont="1" applyFill="1" applyBorder="1" applyAlignment="1" applyProtection="1">
      <alignment horizontal="center" vertical="center" wrapText="1"/>
      <protection hidden="1"/>
    </xf>
    <xf numFmtId="9" fontId="33" fillId="2" borderId="48" xfId="0" applyNumberFormat="1" applyFont="1" applyFill="1" applyBorder="1" applyAlignment="1" applyProtection="1">
      <alignment horizontal="center" vertical="center" wrapText="1"/>
      <protection hidden="1"/>
    </xf>
    <xf numFmtId="9" fontId="33" fillId="2" borderId="127" xfId="0" applyNumberFormat="1" applyFont="1" applyFill="1" applyBorder="1" applyAlignment="1" applyProtection="1">
      <alignment horizontal="center" vertical="center" wrapText="1"/>
      <protection hidden="1"/>
    </xf>
    <xf numFmtId="9" fontId="33" fillId="2" borderId="47" xfId="0" applyNumberFormat="1" applyFont="1" applyFill="1" applyBorder="1" applyAlignment="1" applyProtection="1">
      <alignment horizontal="center" vertical="center" wrapText="1"/>
      <protection hidden="1"/>
    </xf>
    <xf numFmtId="9" fontId="33" fillId="2" borderId="129" xfId="0" applyNumberFormat="1" applyFont="1" applyFill="1" applyBorder="1" applyAlignment="1" applyProtection="1">
      <alignment horizontal="center" vertical="center" wrapText="1"/>
      <protection hidden="1"/>
    </xf>
  </cellXfs>
  <cellStyles count="5">
    <cellStyle name="Hiperlink" xfId="1" builtinId="8"/>
    <cellStyle name="Moeda" xfId="2" builtinId="4"/>
    <cellStyle name="Normal" xfId="0" builtinId="0"/>
    <cellStyle name="Porcentagem" xfId="3" builtinId="5"/>
    <cellStyle name="Vírgula" xfId="4"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79</xdr:col>
      <xdr:colOff>133350</xdr:colOff>
      <xdr:row>0</xdr:row>
      <xdr:rowOff>0</xdr:rowOff>
    </xdr:from>
    <xdr:to>
      <xdr:col>84</xdr:col>
      <xdr:colOff>3175</xdr:colOff>
      <xdr:row>1</xdr:row>
      <xdr:rowOff>85726</xdr:rowOff>
    </xdr:to>
    <xdr:pic>
      <xdr:nvPicPr>
        <xdr:cNvPr id="88183" name="Imagem 6">
          <a:extLst>
            <a:ext uri="{FF2B5EF4-FFF2-40B4-BE49-F238E27FC236}">
              <a16:creationId xmlns:a16="http://schemas.microsoft.com/office/drawing/2014/main" id="{8696CC3C-E6DF-441E-BDA3-71084E7B6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1577" b="10811"/>
        <a:stretch>
          <a:fillRect/>
        </a:stretch>
      </xdr:blipFill>
      <xdr:spPr bwMode="auto">
        <a:xfrm>
          <a:off x="46081950" y="200025"/>
          <a:ext cx="32956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406570</xdr:colOff>
      <xdr:row>0</xdr:row>
      <xdr:rowOff>152168</xdr:rowOff>
    </xdr:from>
    <xdr:to>
      <xdr:col>26</xdr:col>
      <xdr:colOff>369588</xdr:colOff>
      <xdr:row>0</xdr:row>
      <xdr:rowOff>709423</xdr:rowOff>
    </xdr:to>
    <xdr:pic>
      <xdr:nvPicPr>
        <xdr:cNvPr id="5" name="Imagem 4">
          <a:extLst>
            <a:ext uri="{FF2B5EF4-FFF2-40B4-BE49-F238E27FC236}">
              <a16:creationId xmlns:a16="http://schemas.microsoft.com/office/drawing/2014/main" id="{70A9F379-9019-40DB-834A-23BDE33758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29</xdr:col>
      <xdr:colOff>47432</xdr:colOff>
      <xdr:row>0</xdr:row>
      <xdr:rowOff>0</xdr:rowOff>
    </xdr:from>
    <xdr:to>
      <xdr:col>35</xdr:col>
      <xdr:colOff>480285</xdr:colOff>
      <xdr:row>0</xdr:row>
      <xdr:rowOff>862787</xdr:rowOff>
    </xdr:to>
    <xdr:pic>
      <xdr:nvPicPr>
        <xdr:cNvPr id="6" name="Imagem 5">
          <a:extLst>
            <a:ext uri="{FF2B5EF4-FFF2-40B4-BE49-F238E27FC236}">
              <a16:creationId xmlns:a16="http://schemas.microsoft.com/office/drawing/2014/main" id="{EEB31189-2B3E-4DAD-8008-C4EAEC82A2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6</xdr:col>
      <xdr:colOff>41386</xdr:colOff>
      <xdr:row>0</xdr:row>
      <xdr:rowOff>863325</xdr:rowOff>
    </xdr:to>
    <xdr:pic>
      <xdr:nvPicPr>
        <xdr:cNvPr id="7" name="Imagem 6">
          <a:extLst>
            <a:ext uri="{FF2B5EF4-FFF2-40B4-BE49-F238E27FC236}">
              <a16:creationId xmlns:a16="http://schemas.microsoft.com/office/drawing/2014/main" id="{73BBFD67-8BE6-4F09-A110-9CE73DA97C3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80349" name="Imagem 3" descr="Descrição: C:\Users\drt37922\Desktop\Logo MS.png">
          <a:extLst>
            <a:ext uri="{FF2B5EF4-FFF2-40B4-BE49-F238E27FC236}">
              <a16:creationId xmlns:a16="http://schemas.microsoft.com/office/drawing/2014/main" id="{A0A4329A-05E1-4909-A89F-9190AEBF6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5675" y="552450"/>
          <a:ext cx="13430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333375</xdr:colOff>
      <xdr:row>1</xdr:row>
      <xdr:rowOff>857250</xdr:rowOff>
    </xdr:to>
    <xdr:pic>
      <xdr:nvPicPr>
        <xdr:cNvPr id="80350" name="Imagem 4">
          <a:extLst>
            <a:ext uri="{FF2B5EF4-FFF2-40B4-BE49-F238E27FC236}">
              <a16:creationId xmlns:a16="http://schemas.microsoft.com/office/drawing/2014/main" id="{E9414718-C4D9-46B1-BB5D-EEFDA5AB81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0" y="476250"/>
          <a:ext cx="12858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619125</xdr:colOff>
      <xdr:row>1</xdr:row>
      <xdr:rowOff>238125</xdr:rowOff>
    </xdr:from>
    <xdr:to>
      <xdr:col>28</xdr:col>
      <xdr:colOff>200025</xdr:colOff>
      <xdr:row>1</xdr:row>
      <xdr:rowOff>847725</xdr:rowOff>
    </xdr:to>
    <xdr:pic>
      <xdr:nvPicPr>
        <xdr:cNvPr id="80351" name="Imagem 7" descr="Descrição: Resultado de imagem para logo conass">
          <a:extLst>
            <a:ext uri="{FF2B5EF4-FFF2-40B4-BE49-F238E27FC236}">
              <a16:creationId xmlns:a16="http://schemas.microsoft.com/office/drawing/2014/main" id="{5839C95C-01BC-49B8-A1F2-54217E6602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67825" y="419100"/>
          <a:ext cx="1371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171450</xdr:colOff>
      <xdr:row>1</xdr:row>
      <xdr:rowOff>885825</xdr:rowOff>
    </xdr:to>
    <xdr:pic>
      <xdr:nvPicPr>
        <xdr:cNvPr id="80352" name="Imagem 21" descr="Descrição: Descrição: C:\Users\luciano.hammes\Documents\HMV\# RESPONSABILIDADE SOCIAL\Comunicacao\Logotipos\Logo PROADI-SUS (slogan).png">
          <a:extLst>
            <a:ext uri="{FF2B5EF4-FFF2-40B4-BE49-F238E27FC236}">
              <a16:creationId xmlns:a16="http://schemas.microsoft.com/office/drawing/2014/main" id="{19F4AF52-AF48-45C8-BA9C-4CE471E8616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2525" y="504825"/>
          <a:ext cx="9525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81373" name="Imagem 3" descr="Descrição: C:\Users\drt37922\Desktop\Logo MS.png">
          <a:extLst>
            <a:ext uri="{FF2B5EF4-FFF2-40B4-BE49-F238E27FC236}">
              <a16:creationId xmlns:a16="http://schemas.microsoft.com/office/drawing/2014/main" id="{68C8D5BC-8E7E-41D6-9C10-7261ED3EEB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552450"/>
          <a:ext cx="13811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323850</xdr:colOff>
      <xdr:row>1</xdr:row>
      <xdr:rowOff>857250</xdr:rowOff>
    </xdr:to>
    <xdr:pic>
      <xdr:nvPicPr>
        <xdr:cNvPr id="81374" name="Imagem 4">
          <a:extLst>
            <a:ext uri="{FF2B5EF4-FFF2-40B4-BE49-F238E27FC236}">
              <a16:creationId xmlns:a16="http://schemas.microsoft.com/office/drawing/2014/main" id="{1F3AC567-530C-486E-9F67-4595C4F4BA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5075" y="476250"/>
          <a:ext cx="12382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619125</xdr:colOff>
      <xdr:row>1</xdr:row>
      <xdr:rowOff>238125</xdr:rowOff>
    </xdr:from>
    <xdr:to>
      <xdr:col>28</xdr:col>
      <xdr:colOff>200025</xdr:colOff>
      <xdr:row>1</xdr:row>
      <xdr:rowOff>847725</xdr:rowOff>
    </xdr:to>
    <xdr:pic>
      <xdr:nvPicPr>
        <xdr:cNvPr id="81375" name="Imagem 7" descr="Descrição: Resultado de imagem para logo conass">
          <a:extLst>
            <a:ext uri="{FF2B5EF4-FFF2-40B4-BE49-F238E27FC236}">
              <a16:creationId xmlns:a16="http://schemas.microsoft.com/office/drawing/2014/main" id="{F1D00D1C-2FB1-4569-857D-3C5050647A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5400" y="419100"/>
          <a:ext cx="1371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171450</xdr:colOff>
      <xdr:row>1</xdr:row>
      <xdr:rowOff>885825</xdr:rowOff>
    </xdr:to>
    <xdr:pic>
      <xdr:nvPicPr>
        <xdr:cNvPr id="81376" name="Imagem 21" descr="Descrição: Descrição: C:\Users\luciano.hammes\Documents\HMV\# RESPONSABILIDADE SOCIAL\Comunicacao\Logotipos\Logo PROADI-SUS (slogan).png">
          <a:extLst>
            <a:ext uri="{FF2B5EF4-FFF2-40B4-BE49-F238E27FC236}">
              <a16:creationId xmlns:a16="http://schemas.microsoft.com/office/drawing/2014/main" id="{F961FE16-2045-4EC6-9285-1E3C494A58F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81100" y="504825"/>
          <a:ext cx="933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82397" name="Imagem 3" descr="Descrição: C:\Users\drt37922\Desktop\Logo MS.png">
          <a:extLst>
            <a:ext uri="{FF2B5EF4-FFF2-40B4-BE49-F238E27FC236}">
              <a16:creationId xmlns:a16="http://schemas.microsoft.com/office/drawing/2014/main" id="{EDC6BD64-3886-459E-BA26-C4674C9010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552450"/>
          <a:ext cx="1562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323850</xdr:colOff>
      <xdr:row>1</xdr:row>
      <xdr:rowOff>857250</xdr:rowOff>
    </xdr:to>
    <xdr:pic>
      <xdr:nvPicPr>
        <xdr:cNvPr id="82398" name="Imagem 4">
          <a:extLst>
            <a:ext uri="{FF2B5EF4-FFF2-40B4-BE49-F238E27FC236}">
              <a16:creationId xmlns:a16="http://schemas.microsoft.com/office/drawing/2014/main" id="{6A9D9E6A-B6EF-4AD2-8BC3-B3B1E0752B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476250"/>
          <a:ext cx="12382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628650</xdr:colOff>
      <xdr:row>1</xdr:row>
      <xdr:rowOff>238125</xdr:rowOff>
    </xdr:from>
    <xdr:to>
      <xdr:col>28</xdr:col>
      <xdr:colOff>200025</xdr:colOff>
      <xdr:row>1</xdr:row>
      <xdr:rowOff>847725</xdr:rowOff>
    </xdr:to>
    <xdr:pic>
      <xdr:nvPicPr>
        <xdr:cNvPr id="82399" name="Imagem 7" descr="Descrição: Resultado de imagem para logo conass">
          <a:extLst>
            <a:ext uri="{FF2B5EF4-FFF2-40B4-BE49-F238E27FC236}">
              <a16:creationId xmlns:a16="http://schemas.microsoft.com/office/drawing/2014/main" id="{90E054E8-B6BD-48D3-BDD7-DD44DA3006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77425" y="419100"/>
          <a:ext cx="1371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171450</xdr:colOff>
      <xdr:row>1</xdr:row>
      <xdr:rowOff>885825</xdr:rowOff>
    </xdr:to>
    <xdr:pic>
      <xdr:nvPicPr>
        <xdr:cNvPr id="82400" name="Imagem 21" descr="Descrição: Descrição: C:\Users\luciano.hammes\Documents\HMV\# RESPONSABILIDADE SOCIAL\Comunicacao\Logotipos\Logo PROADI-SUS (slogan).png">
          <a:extLst>
            <a:ext uri="{FF2B5EF4-FFF2-40B4-BE49-F238E27FC236}">
              <a16:creationId xmlns:a16="http://schemas.microsoft.com/office/drawing/2014/main" id="{756AD441-210A-4AB3-A523-D03B4A5FE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4450" y="504825"/>
          <a:ext cx="12001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83421" name="Imagem 3" descr="Descrição: C:\Users\drt37922\Desktop\Logo MS.png">
          <a:extLst>
            <a:ext uri="{FF2B5EF4-FFF2-40B4-BE49-F238E27FC236}">
              <a16:creationId xmlns:a16="http://schemas.microsoft.com/office/drawing/2014/main" id="{525F5626-DDDC-4CB1-8688-E3C35BBF3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552450"/>
          <a:ext cx="13716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323850</xdr:colOff>
      <xdr:row>1</xdr:row>
      <xdr:rowOff>857250</xdr:rowOff>
    </xdr:to>
    <xdr:pic>
      <xdr:nvPicPr>
        <xdr:cNvPr id="83422" name="Imagem 4">
          <a:extLst>
            <a:ext uri="{FF2B5EF4-FFF2-40B4-BE49-F238E27FC236}">
              <a16:creationId xmlns:a16="http://schemas.microsoft.com/office/drawing/2014/main" id="{FB9886C4-9151-4CFB-994E-6D49E67F02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0" y="476250"/>
          <a:ext cx="10477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628650</xdr:colOff>
      <xdr:row>1</xdr:row>
      <xdr:rowOff>238125</xdr:rowOff>
    </xdr:from>
    <xdr:to>
      <xdr:col>28</xdr:col>
      <xdr:colOff>200025</xdr:colOff>
      <xdr:row>1</xdr:row>
      <xdr:rowOff>847725</xdr:rowOff>
    </xdr:to>
    <xdr:pic>
      <xdr:nvPicPr>
        <xdr:cNvPr id="83423" name="Imagem 7" descr="Descrição: Resultado de imagem para logo conass">
          <a:extLst>
            <a:ext uri="{FF2B5EF4-FFF2-40B4-BE49-F238E27FC236}">
              <a16:creationId xmlns:a16="http://schemas.microsoft.com/office/drawing/2014/main" id="{6E989551-DD3E-462E-8AD5-03F4CC28C1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29725" y="419100"/>
          <a:ext cx="11811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171450</xdr:colOff>
      <xdr:row>1</xdr:row>
      <xdr:rowOff>885825</xdr:rowOff>
    </xdr:to>
    <xdr:pic>
      <xdr:nvPicPr>
        <xdr:cNvPr id="83424" name="Imagem 21" descr="Descrição: Descrição: C:\Users\luciano.hammes\Documents\HMV\# RESPONSABILIDADE SOCIAL\Comunicacao\Logotipos\Logo PROADI-SUS (slogan).png">
          <a:extLst>
            <a:ext uri="{FF2B5EF4-FFF2-40B4-BE49-F238E27FC236}">
              <a16:creationId xmlns:a16="http://schemas.microsoft.com/office/drawing/2014/main" id="{DEC86F1B-3B20-4C46-8812-8DDCFD2C21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6350" y="504825"/>
          <a:ext cx="10096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77357" name="Imagem 3" descr="Descrição: C:\Users\drt37922\Desktop\Logo MS.png">
          <a:extLst>
            <a:ext uri="{FF2B5EF4-FFF2-40B4-BE49-F238E27FC236}">
              <a16:creationId xmlns:a16="http://schemas.microsoft.com/office/drawing/2014/main" id="{DACE6EE3-FE92-4544-A504-55F587B15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6650" y="552450"/>
          <a:ext cx="1238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323850</xdr:colOff>
      <xdr:row>1</xdr:row>
      <xdr:rowOff>857250</xdr:rowOff>
    </xdr:to>
    <xdr:pic>
      <xdr:nvPicPr>
        <xdr:cNvPr id="77358" name="Imagem 4">
          <a:extLst>
            <a:ext uri="{FF2B5EF4-FFF2-40B4-BE49-F238E27FC236}">
              <a16:creationId xmlns:a16="http://schemas.microsoft.com/office/drawing/2014/main" id="{1932C26F-AD16-4D4F-B4CA-8B4AE3E24C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7950" y="476250"/>
          <a:ext cx="1009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628650</xdr:colOff>
      <xdr:row>1</xdr:row>
      <xdr:rowOff>238125</xdr:rowOff>
    </xdr:from>
    <xdr:to>
      <xdr:col>28</xdr:col>
      <xdr:colOff>190500</xdr:colOff>
      <xdr:row>1</xdr:row>
      <xdr:rowOff>847725</xdr:rowOff>
    </xdr:to>
    <xdr:pic>
      <xdr:nvPicPr>
        <xdr:cNvPr id="77359" name="Imagem 7" descr="Descrição: Resultado de imagem para logo conass">
          <a:extLst>
            <a:ext uri="{FF2B5EF4-FFF2-40B4-BE49-F238E27FC236}">
              <a16:creationId xmlns:a16="http://schemas.microsoft.com/office/drawing/2014/main" id="{7E310FA6-DE83-43B9-8AE1-D04C2D1587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24975" y="419100"/>
          <a:ext cx="11811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600075</xdr:colOff>
      <xdr:row>1</xdr:row>
      <xdr:rowOff>885825</xdr:rowOff>
    </xdr:to>
    <xdr:pic>
      <xdr:nvPicPr>
        <xdr:cNvPr id="77360" name="Imagem 21" descr="Descrição: Descrição: C:\Users\luciano.hammes\Documents\HMV\# RESPONSABILIDADE SOCIAL\Comunicacao\Logotipos\Logo PROADI-SUS (slogan).png">
          <a:extLst>
            <a:ext uri="{FF2B5EF4-FFF2-40B4-BE49-F238E27FC236}">
              <a16:creationId xmlns:a16="http://schemas.microsoft.com/office/drawing/2014/main" id="{739F7B49-31D0-4904-9B40-88AD5CE6C1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38250" y="504825"/>
          <a:ext cx="12096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95420</xdr:colOff>
      <xdr:row>0</xdr:row>
      <xdr:rowOff>152168</xdr:rowOff>
    </xdr:from>
    <xdr:to>
      <xdr:col>92</xdr:col>
      <xdr:colOff>98655</xdr:colOff>
      <xdr:row>0</xdr:row>
      <xdr:rowOff>709423</xdr:rowOff>
    </xdr:to>
    <xdr:pic>
      <xdr:nvPicPr>
        <xdr:cNvPr id="4" name="Imagem 3">
          <a:extLst>
            <a:ext uri="{FF2B5EF4-FFF2-40B4-BE49-F238E27FC236}">
              <a16:creationId xmlns:a16="http://schemas.microsoft.com/office/drawing/2014/main" id="{E005F458-4C42-4C9A-A912-BE646188F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97</xdr:col>
      <xdr:colOff>490874</xdr:colOff>
      <xdr:row>0</xdr:row>
      <xdr:rowOff>0</xdr:rowOff>
    </xdr:from>
    <xdr:to>
      <xdr:col>101</xdr:col>
      <xdr:colOff>745927</xdr:colOff>
      <xdr:row>0</xdr:row>
      <xdr:rowOff>862787</xdr:rowOff>
    </xdr:to>
    <xdr:pic>
      <xdr:nvPicPr>
        <xdr:cNvPr id="5" name="Imagem 4">
          <a:extLst>
            <a:ext uri="{FF2B5EF4-FFF2-40B4-BE49-F238E27FC236}">
              <a16:creationId xmlns:a16="http://schemas.microsoft.com/office/drawing/2014/main" id="{C3B9F5F9-0661-4E84-A099-43033F03F1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20</xdr:col>
      <xdr:colOff>28686</xdr:colOff>
      <xdr:row>0</xdr:row>
      <xdr:rowOff>863325</xdr:rowOff>
    </xdr:to>
    <xdr:pic>
      <xdr:nvPicPr>
        <xdr:cNvPr id="6" name="Imagem 5">
          <a:extLst>
            <a:ext uri="{FF2B5EF4-FFF2-40B4-BE49-F238E27FC236}">
              <a16:creationId xmlns:a16="http://schemas.microsoft.com/office/drawing/2014/main" id="{BCDE1127-2DEA-424D-80F7-034C7EE5BD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104945</xdr:colOff>
      <xdr:row>0</xdr:row>
      <xdr:rowOff>152168</xdr:rowOff>
    </xdr:from>
    <xdr:to>
      <xdr:col>27</xdr:col>
      <xdr:colOff>670155</xdr:colOff>
      <xdr:row>0</xdr:row>
      <xdr:rowOff>709423</xdr:rowOff>
    </xdr:to>
    <xdr:pic>
      <xdr:nvPicPr>
        <xdr:cNvPr id="4" name="Imagem 3">
          <a:extLst>
            <a:ext uri="{FF2B5EF4-FFF2-40B4-BE49-F238E27FC236}">
              <a16:creationId xmlns:a16="http://schemas.microsoft.com/office/drawing/2014/main" id="{2005BE5E-1802-4BFC-86E3-8C264DA36B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29</xdr:col>
      <xdr:colOff>5099</xdr:colOff>
      <xdr:row>0</xdr:row>
      <xdr:rowOff>0</xdr:rowOff>
    </xdr:from>
    <xdr:to>
      <xdr:col>33</xdr:col>
      <xdr:colOff>260152</xdr:colOff>
      <xdr:row>0</xdr:row>
      <xdr:rowOff>862787</xdr:rowOff>
    </xdr:to>
    <xdr:pic>
      <xdr:nvPicPr>
        <xdr:cNvPr id="5" name="Imagem 4">
          <a:extLst>
            <a:ext uri="{FF2B5EF4-FFF2-40B4-BE49-F238E27FC236}">
              <a16:creationId xmlns:a16="http://schemas.microsoft.com/office/drawing/2014/main" id="{860D22BE-96BB-464B-B724-E944A6EBB6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5</xdr:col>
      <xdr:colOff>428736</xdr:colOff>
      <xdr:row>0</xdr:row>
      <xdr:rowOff>863325</xdr:rowOff>
    </xdr:to>
    <xdr:pic>
      <xdr:nvPicPr>
        <xdr:cNvPr id="6" name="Imagem 5">
          <a:extLst>
            <a:ext uri="{FF2B5EF4-FFF2-40B4-BE49-F238E27FC236}">
              <a16:creationId xmlns:a16="http://schemas.microsoft.com/office/drawing/2014/main" id="{B230548B-BFE8-4F41-B825-0381175292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390695</xdr:colOff>
      <xdr:row>0</xdr:row>
      <xdr:rowOff>152168</xdr:rowOff>
    </xdr:from>
    <xdr:to>
      <xdr:col>25</xdr:col>
      <xdr:colOff>384405</xdr:colOff>
      <xdr:row>0</xdr:row>
      <xdr:rowOff>709423</xdr:rowOff>
    </xdr:to>
    <xdr:pic>
      <xdr:nvPicPr>
        <xdr:cNvPr id="4" name="Imagem 3">
          <a:extLst>
            <a:ext uri="{FF2B5EF4-FFF2-40B4-BE49-F238E27FC236}">
              <a16:creationId xmlns:a16="http://schemas.microsoft.com/office/drawing/2014/main" id="{E3181C3C-F38B-48DD-8A4F-C0845A7566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28</xdr:col>
      <xdr:colOff>376574</xdr:colOff>
      <xdr:row>0</xdr:row>
      <xdr:rowOff>0</xdr:rowOff>
    </xdr:from>
    <xdr:to>
      <xdr:col>35</xdr:col>
      <xdr:colOff>364927</xdr:colOff>
      <xdr:row>0</xdr:row>
      <xdr:rowOff>862787</xdr:rowOff>
    </xdr:to>
    <xdr:pic>
      <xdr:nvPicPr>
        <xdr:cNvPr id="5" name="Imagem 4">
          <a:extLst>
            <a:ext uri="{FF2B5EF4-FFF2-40B4-BE49-F238E27FC236}">
              <a16:creationId xmlns:a16="http://schemas.microsoft.com/office/drawing/2014/main" id="{AF68FEEE-FF83-43A6-A96A-3F4E2D4531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6</xdr:col>
      <xdr:colOff>28686</xdr:colOff>
      <xdr:row>0</xdr:row>
      <xdr:rowOff>863325</xdr:rowOff>
    </xdr:to>
    <xdr:pic>
      <xdr:nvPicPr>
        <xdr:cNvPr id="6" name="Imagem 5">
          <a:extLst>
            <a:ext uri="{FF2B5EF4-FFF2-40B4-BE49-F238E27FC236}">
              <a16:creationId xmlns:a16="http://schemas.microsoft.com/office/drawing/2014/main" id="{44EC8858-5A24-4FBF-81D7-C8C7645476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47795</xdr:colOff>
      <xdr:row>0</xdr:row>
      <xdr:rowOff>152168</xdr:rowOff>
    </xdr:from>
    <xdr:to>
      <xdr:col>93</xdr:col>
      <xdr:colOff>51030</xdr:colOff>
      <xdr:row>0</xdr:row>
      <xdr:rowOff>709423</xdr:rowOff>
    </xdr:to>
    <xdr:pic>
      <xdr:nvPicPr>
        <xdr:cNvPr id="4" name="Imagem 3">
          <a:extLst>
            <a:ext uri="{FF2B5EF4-FFF2-40B4-BE49-F238E27FC236}">
              <a16:creationId xmlns:a16="http://schemas.microsoft.com/office/drawing/2014/main" id="{8EFAB608-129B-4CF5-BEC1-321C07FA65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101</xdr:col>
      <xdr:colOff>71774</xdr:colOff>
      <xdr:row>0</xdr:row>
      <xdr:rowOff>0</xdr:rowOff>
    </xdr:from>
    <xdr:to>
      <xdr:col>130</xdr:col>
      <xdr:colOff>88702</xdr:colOff>
      <xdr:row>0</xdr:row>
      <xdr:rowOff>862787</xdr:rowOff>
    </xdr:to>
    <xdr:pic>
      <xdr:nvPicPr>
        <xdr:cNvPr id="5" name="Imagem 4">
          <a:extLst>
            <a:ext uri="{FF2B5EF4-FFF2-40B4-BE49-F238E27FC236}">
              <a16:creationId xmlns:a16="http://schemas.microsoft.com/office/drawing/2014/main" id="{79E5352E-71E7-4C1C-82C0-6EA33E85DA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20</xdr:col>
      <xdr:colOff>104886</xdr:colOff>
      <xdr:row>0</xdr:row>
      <xdr:rowOff>863325</xdr:rowOff>
    </xdr:to>
    <xdr:pic>
      <xdr:nvPicPr>
        <xdr:cNvPr id="6" name="Imagem 5">
          <a:extLst>
            <a:ext uri="{FF2B5EF4-FFF2-40B4-BE49-F238E27FC236}">
              <a16:creationId xmlns:a16="http://schemas.microsoft.com/office/drawing/2014/main" id="{8139A679-F2D3-4451-8239-F535AB2FDC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543095</xdr:colOff>
      <xdr:row>0</xdr:row>
      <xdr:rowOff>152168</xdr:rowOff>
    </xdr:from>
    <xdr:to>
      <xdr:col>23</xdr:col>
      <xdr:colOff>327255</xdr:colOff>
      <xdr:row>0</xdr:row>
      <xdr:rowOff>709423</xdr:rowOff>
    </xdr:to>
    <xdr:pic>
      <xdr:nvPicPr>
        <xdr:cNvPr id="4" name="Imagem 3">
          <a:extLst>
            <a:ext uri="{FF2B5EF4-FFF2-40B4-BE49-F238E27FC236}">
              <a16:creationId xmlns:a16="http://schemas.microsoft.com/office/drawing/2014/main" id="{40C21501-14AE-44BD-BC42-DFEB83E07F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25</xdr:col>
      <xdr:colOff>357524</xdr:colOff>
      <xdr:row>0</xdr:row>
      <xdr:rowOff>0</xdr:rowOff>
    </xdr:from>
    <xdr:to>
      <xdr:col>42</xdr:col>
      <xdr:colOff>88702</xdr:colOff>
      <xdr:row>0</xdr:row>
      <xdr:rowOff>862787</xdr:rowOff>
    </xdr:to>
    <xdr:pic>
      <xdr:nvPicPr>
        <xdr:cNvPr id="5" name="Imagem 4">
          <a:extLst>
            <a:ext uri="{FF2B5EF4-FFF2-40B4-BE49-F238E27FC236}">
              <a16:creationId xmlns:a16="http://schemas.microsoft.com/office/drawing/2014/main" id="{D0BB4FCD-A42D-4981-8CA9-AA639DE440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6</xdr:col>
      <xdr:colOff>323961</xdr:colOff>
      <xdr:row>0</xdr:row>
      <xdr:rowOff>863325</xdr:rowOff>
    </xdr:to>
    <xdr:pic>
      <xdr:nvPicPr>
        <xdr:cNvPr id="6" name="Imagem 5">
          <a:extLst>
            <a:ext uri="{FF2B5EF4-FFF2-40B4-BE49-F238E27FC236}">
              <a16:creationId xmlns:a16="http://schemas.microsoft.com/office/drawing/2014/main" id="{5379DF32-0B19-4369-A01A-EF980C8485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2836888</xdr:colOff>
      <xdr:row>0</xdr:row>
      <xdr:rowOff>152168</xdr:rowOff>
    </xdr:from>
    <xdr:to>
      <xdr:col>10</xdr:col>
      <xdr:colOff>405187</xdr:colOff>
      <xdr:row>0</xdr:row>
      <xdr:rowOff>709423</xdr:rowOff>
    </xdr:to>
    <xdr:pic>
      <xdr:nvPicPr>
        <xdr:cNvPr id="6" name="Imagem 5">
          <a:extLst>
            <a:ext uri="{FF2B5EF4-FFF2-40B4-BE49-F238E27FC236}">
              <a16:creationId xmlns:a16="http://schemas.microsoft.com/office/drawing/2014/main" id="{DD20FD91-6044-4F2E-BCCF-207F04135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10</xdr:col>
      <xdr:colOff>1416531</xdr:colOff>
      <xdr:row>0</xdr:row>
      <xdr:rowOff>0</xdr:rowOff>
    </xdr:from>
    <xdr:to>
      <xdr:col>15</xdr:col>
      <xdr:colOff>365793</xdr:colOff>
      <xdr:row>1</xdr:row>
      <xdr:rowOff>48832</xdr:rowOff>
    </xdr:to>
    <xdr:pic>
      <xdr:nvPicPr>
        <xdr:cNvPr id="7" name="Imagem 6">
          <a:extLst>
            <a:ext uri="{FF2B5EF4-FFF2-40B4-BE49-F238E27FC236}">
              <a16:creationId xmlns:a16="http://schemas.microsoft.com/office/drawing/2014/main" id="{A52C6BA8-9092-4F43-B26D-66B4B9DB31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2</xdr:col>
      <xdr:colOff>2027204</xdr:colOff>
      <xdr:row>1</xdr:row>
      <xdr:rowOff>49370</xdr:rowOff>
    </xdr:to>
    <xdr:pic>
      <xdr:nvPicPr>
        <xdr:cNvPr id="8" name="Imagem 7">
          <a:extLst>
            <a:ext uri="{FF2B5EF4-FFF2-40B4-BE49-F238E27FC236}">
              <a16:creationId xmlns:a16="http://schemas.microsoft.com/office/drawing/2014/main" id="{B60AF99B-E637-4D1E-9135-183C01E936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17632</xdr:colOff>
      <xdr:row>0</xdr:row>
      <xdr:rowOff>152168</xdr:rowOff>
    </xdr:from>
    <xdr:to>
      <xdr:col>89</xdr:col>
      <xdr:colOff>120880</xdr:colOff>
      <xdr:row>0</xdr:row>
      <xdr:rowOff>709423</xdr:rowOff>
    </xdr:to>
    <xdr:pic>
      <xdr:nvPicPr>
        <xdr:cNvPr id="4" name="Imagem 3">
          <a:extLst>
            <a:ext uri="{FF2B5EF4-FFF2-40B4-BE49-F238E27FC236}">
              <a16:creationId xmlns:a16="http://schemas.microsoft.com/office/drawing/2014/main" id="{1248387D-1813-40D5-BCEE-FCA14ECF17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152168"/>
          <a:ext cx="8175685" cy="557255"/>
        </a:xfrm>
        <a:prstGeom prst="rect">
          <a:avLst/>
        </a:prstGeom>
      </xdr:spPr>
    </xdr:pic>
    <xdr:clientData/>
  </xdr:twoCellAnchor>
  <xdr:twoCellAnchor editAs="oneCell">
    <xdr:from>
      <xdr:col>97</xdr:col>
      <xdr:colOff>116224</xdr:colOff>
      <xdr:row>0</xdr:row>
      <xdr:rowOff>0</xdr:rowOff>
    </xdr:from>
    <xdr:to>
      <xdr:col>126</xdr:col>
      <xdr:colOff>41077</xdr:colOff>
      <xdr:row>0</xdr:row>
      <xdr:rowOff>862787</xdr:rowOff>
    </xdr:to>
    <xdr:pic>
      <xdr:nvPicPr>
        <xdr:cNvPr id="5" name="Imagem 4">
          <a:extLst>
            <a:ext uri="{FF2B5EF4-FFF2-40B4-BE49-F238E27FC236}">
              <a16:creationId xmlns:a16="http://schemas.microsoft.com/office/drawing/2014/main" id="{52F94B73-042E-48AE-8DA6-75B94FBB58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0"/>
          <a:ext cx="3607853" cy="862787"/>
        </a:xfrm>
        <a:prstGeom prst="rect">
          <a:avLst/>
        </a:prstGeom>
      </xdr:spPr>
    </xdr:pic>
    <xdr:clientData/>
  </xdr:twoCellAnchor>
  <xdr:twoCellAnchor editAs="oneCell">
    <xdr:from>
      <xdr:col>0</xdr:col>
      <xdr:colOff>0</xdr:colOff>
      <xdr:row>0</xdr:row>
      <xdr:rowOff>66869</xdr:rowOff>
    </xdr:from>
    <xdr:to>
      <xdr:col>19</xdr:col>
      <xdr:colOff>96948</xdr:colOff>
      <xdr:row>0</xdr:row>
      <xdr:rowOff>863325</xdr:rowOff>
    </xdr:to>
    <xdr:pic>
      <xdr:nvPicPr>
        <xdr:cNvPr id="6" name="Imagem 5">
          <a:extLst>
            <a:ext uri="{FF2B5EF4-FFF2-40B4-BE49-F238E27FC236}">
              <a16:creationId xmlns:a16="http://schemas.microsoft.com/office/drawing/2014/main" id="{060D201A-FBB4-4E99-BD99-93256DF91A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69"/>
          <a:ext cx="2581386" cy="7964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114470</xdr:colOff>
      <xdr:row>0</xdr:row>
      <xdr:rowOff>152168</xdr:rowOff>
    </xdr:from>
    <xdr:to>
      <xdr:col>116</xdr:col>
      <xdr:colOff>117705</xdr:colOff>
      <xdr:row>0</xdr:row>
      <xdr:rowOff>709423</xdr:rowOff>
    </xdr:to>
    <xdr:pic>
      <xdr:nvPicPr>
        <xdr:cNvPr id="4" name="Imagem 3">
          <a:extLst>
            <a:ext uri="{FF2B5EF4-FFF2-40B4-BE49-F238E27FC236}">
              <a16:creationId xmlns:a16="http://schemas.microsoft.com/office/drawing/2014/main" id="{A7D94416-9218-4642-BE87-C4CE53202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070" y="275993"/>
          <a:ext cx="8175685" cy="557255"/>
        </a:xfrm>
        <a:prstGeom prst="rect">
          <a:avLst/>
        </a:prstGeom>
      </xdr:spPr>
    </xdr:pic>
    <xdr:clientData/>
  </xdr:twoCellAnchor>
  <xdr:twoCellAnchor editAs="oneCell">
    <xdr:from>
      <xdr:col>125</xdr:col>
      <xdr:colOff>14624</xdr:colOff>
      <xdr:row>0</xdr:row>
      <xdr:rowOff>0</xdr:rowOff>
    </xdr:from>
    <xdr:to>
      <xdr:col>146</xdr:col>
      <xdr:colOff>183952</xdr:colOff>
      <xdr:row>0</xdr:row>
      <xdr:rowOff>862787</xdr:rowOff>
    </xdr:to>
    <xdr:pic>
      <xdr:nvPicPr>
        <xdr:cNvPr id="5" name="Imagem 4">
          <a:extLst>
            <a:ext uri="{FF2B5EF4-FFF2-40B4-BE49-F238E27FC236}">
              <a16:creationId xmlns:a16="http://schemas.microsoft.com/office/drawing/2014/main" id="{45A25A83-0FC6-4C78-8BF6-C04FEF807A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8099" y="123825"/>
          <a:ext cx="3607853" cy="862787"/>
        </a:xfrm>
        <a:prstGeom prst="rect">
          <a:avLst/>
        </a:prstGeom>
      </xdr:spPr>
    </xdr:pic>
    <xdr:clientData/>
  </xdr:twoCellAnchor>
  <xdr:twoCellAnchor editAs="oneCell">
    <xdr:from>
      <xdr:col>0</xdr:col>
      <xdr:colOff>0</xdr:colOff>
      <xdr:row>0</xdr:row>
      <xdr:rowOff>66869</xdr:rowOff>
    </xdr:from>
    <xdr:to>
      <xdr:col>18</xdr:col>
      <xdr:colOff>47736</xdr:colOff>
      <xdr:row>0</xdr:row>
      <xdr:rowOff>863325</xdr:rowOff>
    </xdr:to>
    <xdr:pic>
      <xdr:nvPicPr>
        <xdr:cNvPr id="6" name="Imagem 5">
          <a:extLst>
            <a:ext uri="{FF2B5EF4-FFF2-40B4-BE49-F238E27FC236}">
              <a16:creationId xmlns:a16="http://schemas.microsoft.com/office/drawing/2014/main" id="{1F23D958-3D71-4BDD-996F-BC9CECAC09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90694"/>
          <a:ext cx="2581386" cy="7964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73473" name="Imagem 3" descr="Descrição: C:\Users\drt37922\Desktop\Logo MS.png">
          <a:extLst>
            <a:ext uri="{FF2B5EF4-FFF2-40B4-BE49-F238E27FC236}">
              <a16:creationId xmlns:a16="http://schemas.microsoft.com/office/drawing/2014/main" id="{E18E0CD5-4E1D-47DF-BD46-BFE349336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552450"/>
          <a:ext cx="13716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323850</xdr:colOff>
      <xdr:row>1</xdr:row>
      <xdr:rowOff>857250</xdr:rowOff>
    </xdr:to>
    <xdr:pic>
      <xdr:nvPicPr>
        <xdr:cNvPr id="73474" name="Imagem 4">
          <a:extLst>
            <a:ext uri="{FF2B5EF4-FFF2-40B4-BE49-F238E27FC236}">
              <a16:creationId xmlns:a16="http://schemas.microsoft.com/office/drawing/2014/main" id="{FF729CB4-5FF6-4AD2-A2B4-19313A8178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476250"/>
          <a:ext cx="10477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619125</xdr:colOff>
      <xdr:row>1</xdr:row>
      <xdr:rowOff>238125</xdr:rowOff>
    </xdr:from>
    <xdr:to>
      <xdr:col>28</xdr:col>
      <xdr:colOff>200025</xdr:colOff>
      <xdr:row>1</xdr:row>
      <xdr:rowOff>847725</xdr:rowOff>
    </xdr:to>
    <xdr:pic>
      <xdr:nvPicPr>
        <xdr:cNvPr id="73475" name="Imagem 7" descr="Descrição: Resultado de imagem para logo conass">
          <a:extLst>
            <a:ext uri="{FF2B5EF4-FFF2-40B4-BE49-F238E27FC236}">
              <a16:creationId xmlns:a16="http://schemas.microsoft.com/office/drawing/2014/main" id="{4775A978-31EC-4F02-AE47-1F83CD8BB7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82150" y="419100"/>
          <a:ext cx="16573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171450</xdr:colOff>
      <xdr:row>1</xdr:row>
      <xdr:rowOff>885825</xdr:rowOff>
    </xdr:to>
    <xdr:pic>
      <xdr:nvPicPr>
        <xdr:cNvPr id="73476" name="Imagem 21" descr="Descrição: Descrição: C:\Users\luciano.hammes\Documents\HMV\# RESPONSABILIDADE SOCIAL\Comunicacao\Logotipos\Logo PROADI-SUS (slogan).png">
          <a:extLst>
            <a:ext uri="{FF2B5EF4-FFF2-40B4-BE49-F238E27FC236}">
              <a16:creationId xmlns:a16="http://schemas.microsoft.com/office/drawing/2014/main" id="{5E9478D9-D945-417B-8CC0-176CEE5492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4450" y="504825"/>
          <a:ext cx="10096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647700</xdr:colOff>
      <xdr:row>1</xdr:row>
      <xdr:rowOff>371475</xdr:rowOff>
    </xdr:from>
    <xdr:to>
      <xdr:col>13</xdr:col>
      <xdr:colOff>485775</xdr:colOff>
      <xdr:row>1</xdr:row>
      <xdr:rowOff>904875</xdr:rowOff>
    </xdr:to>
    <xdr:pic>
      <xdr:nvPicPr>
        <xdr:cNvPr id="79325" name="Imagem 3" descr="Descrição: C:\Users\drt37922\Desktop\Logo MS.png">
          <a:extLst>
            <a:ext uri="{FF2B5EF4-FFF2-40B4-BE49-F238E27FC236}">
              <a16:creationId xmlns:a16="http://schemas.microsoft.com/office/drawing/2014/main" id="{4F5ABA18-024E-491B-B408-ABF9654F4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552450"/>
          <a:ext cx="13716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xdr:row>
      <xdr:rowOff>295275</xdr:rowOff>
    </xdr:from>
    <xdr:to>
      <xdr:col>20</xdr:col>
      <xdr:colOff>323850</xdr:colOff>
      <xdr:row>1</xdr:row>
      <xdr:rowOff>857250</xdr:rowOff>
    </xdr:to>
    <xdr:pic>
      <xdr:nvPicPr>
        <xdr:cNvPr id="79326" name="Imagem 4">
          <a:extLst>
            <a:ext uri="{FF2B5EF4-FFF2-40B4-BE49-F238E27FC236}">
              <a16:creationId xmlns:a16="http://schemas.microsoft.com/office/drawing/2014/main" id="{E84FDA29-192F-4CD8-B02F-89A27C81D6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24600" y="476250"/>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619125</xdr:colOff>
      <xdr:row>1</xdr:row>
      <xdr:rowOff>238125</xdr:rowOff>
    </xdr:from>
    <xdr:to>
      <xdr:col>27</xdr:col>
      <xdr:colOff>200025</xdr:colOff>
      <xdr:row>1</xdr:row>
      <xdr:rowOff>847725</xdr:rowOff>
    </xdr:to>
    <xdr:pic>
      <xdr:nvPicPr>
        <xdr:cNvPr id="79327" name="Imagem 7" descr="Descrição: Resultado de imagem para logo conass">
          <a:extLst>
            <a:ext uri="{FF2B5EF4-FFF2-40B4-BE49-F238E27FC236}">
              <a16:creationId xmlns:a16="http://schemas.microsoft.com/office/drawing/2014/main" id="{E442773D-5A9B-4911-BB60-FC19ABDAA8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48725" y="419100"/>
          <a:ext cx="11620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xdr:row>
      <xdr:rowOff>323850</xdr:rowOff>
    </xdr:from>
    <xdr:to>
      <xdr:col>6</xdr:col>
      <xdr:colOff>171450</xdr:colOff>
      <xdr:row>1</xdr:row>
      <xdr:rowOff>885825</xdr:rowOff>
    </xdr:to>
    <xdr:pic>
      <xdr:nvPicPr>
        <xdr:cNvPr id="79328" name="Imagem 21" descr="Descrição: Descrição: C:\Users\luciano.hammes\Documents\HMV\# RESPONSABILIDADE SOCIAL\Comunicacao\Logotipos\Logo PROADI-SUS (slogan).png">
          <a:extLst>
            <a:ext uri="{FF2B5EF4-FFF2-40B4-BE49-F238E27FC236}">
              <a16:creationId xmlns:a16="http://schemas.microsoft.com/office/drawing/2014/main" id="{697572E9-CEDB-48C2-B073-DAADF4562F7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4450" y="504825"/>
          <a:ext cx="8953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os_IIRS_RESTORE/0.Projetos%20e%20Novos%20Servi&#231;os/3.%20Gest&#227;o%20de%20Pessoas/Desenvolvimento%20Especialistas/Oficina%20Programa&#231;&#227;o%20do%20cuidado/Programacao%20APS%20-%2001junh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torial"/>
      <sheetName val="Capa"/>
      <sheetName val="POPGEST2013"/>
      <sheetName val="POP2013"/>
      <sheetName val="Cadastro"/>
      <sheetName val="Pop.Alvo"/>
      <sheetName val="Gest.Puérp."/>
      <sheetName val="Criança"/>
      <sheetName val="HiperDia"/>
      <sheetName val="CH Equipe"/>
      <sheetName val="Agenda"/>
      <sheetName val="At.Sec.Espec."/>
      <sheetName val="Ap.Diag."/>
      <sheetName val="Monit."/>
      <sheetName val="Planilha1"/>
      <sheetName val="Painel Bordo"/>
      <sheetName val="Plan3"/>
    </sheetNames>
    <sheetDataSet>
      <sheetData sheetId="0"/>
      <sheetData sheetId="1"/>
      <sheetData sheetId="2"/>
      <sheetData sheetId="3"/>
      <sheetData sheetId="4"/>
      <sheetData sheetId="5"/>
      <sheetData sheetId="6"/>
      <sheetData sheetId="7"/>
      <sheetData sheetId="8"/>
      <sheetData sheetId="9">
        <row r="71">
          <cell r="CG71" t="str">
            <v>CH
(horas/semana)</v>
          </cell>
        </row>
        <row r="73">
          <cell r="CG73">
            <v>0</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5"/>
  <dimension ref="A1:AH248"/>
  <sheetViews>
    <sheetView tabSelected="1" topLeftCell="A226" zoomScale="90" zoomScaleNormal="90" workbookViewId="0">
      <selection activeCell="V239" sqref="V239:W239"/>
    </sheetView>
  </sheetViews>
  <sheetFormatPr defaultRowHeight="15.75" x14ac:dyDescent="0.2"/>
  <cols>
    <col min="1" max="1" width="4.125" style="3" customWidth="1"/>
    <col min="2" max="2" width="5.875" style="3" customWidth="1"/>
    <col min="3" max="3" width="5.875" style="4" customWidth="1"/>
    <col min="4" max="9" width="5.875" style="3" customWidth="1"/>
    <col min="10" max="10" width="3.125" style="3" customWidth="1"/>
    <col min="11" max="21" width="5.875" style="3" customWidth="1"/>
    <col min="22" max="22" width="5.375" style="3" customWidth="1"/>
    <col min="23" max="31" width="5.875" style="3" customWidth="1"/>
    <col min="32" max="32" width="2.875" style="3" customWidth="1"/>
    <col min="33" max="16384" width="9" style="3"/>
  </cols>
  <sheetData>
    <row r="1" spans="1:30" s="355" customFormat="1" ht="68.25" customHeight="1" thickBot="1" x14ac:dyDescent="0.25">
      <c r="A1" s="364"/>
      <c r="B1" s="364"/>
      <c r="C1" s="364"/>
      <c r="D1" s="364"/>
      <c r="E1" s="364"/>
      <c r="F1" s="364"/>
      <c r="G1" s="364"/>
      <c r="H1" s="364"/>
      <c r="I1" s="364"/>
      <c r="J1" s="364"/>
      <c r="K1" s="364"/>
      <c r="L1" s="364"/>
      <c r="M1" s="364"/>
      <c r="N1" s="364"/>
      <c r="O1" s="364"/>
      <c r="P1" s="364"/>
    </row>
    <row r="3" spans="1:30" ht="31.5" x14ac:dyDescent="0.2">
      <c r="B3" s="402" t="s">
        <v>423</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row>
    <row r="4" spans="1:30" ht="24" customHeight="1" x14ac:dyDescent="0.2">
      <c r="B4" s="5"/>
      <c r="C4" s="403" t="s">
        <v>741</v>
      </c>
      <c r="D4" s="403"/>
      <c r="E4" s="403"/>
      <c r="F4" s="403"/>
      <c r="G4" s="403"/>
      <c r="H4" s="403"/>
      <c r="I4" s="403"/>
      <c r="J4" s="403"/>
      <c r="K4" s="403"/>
      <c r="L4" s="403"/>
      <c r="M4" s="403"/>
    </row>
    <row r="5" spans="1:30" ht="7.5" customHeight="1" x14ac:dyDescent="0.2">
      <c r="C5" s="6"/>
      <c r="D5" s="7"/>
      <c r="E5" s="7"/>
      <c r="F5" s="8"/>
      <c r="G5" s="8"/>
      <c r="H5" s="8"/>
    </row>
    <row r="6" spans="1:30" ht="30" customHeight="1" x14ac:dyDescent="0.2">
      <c r="C6" s="11"/>
      <c r="D6" s="366" t="s">
        <v>424</v>
      </c>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row>
    <row r="7" spans="1:30" ht="11.25" customHeight="1" x14ac:dyDescent="0.2"/>
    <row r="8" spans="1:30" ht="20.25" customHeight="1" x14ac:dyDescent="0.2">
      <c r="C8" s="371" t="s">
        <v>233</v>
      </c>
      <c r="D8" s="371"/>
      <c r="E8" s="371"/>
      <c r="F8" s="371"/>
      <c r="G8" s="371"/>
      <c r="H8" s="371"/>
    </row>
    <row r="9" spans="1:30" ht="5.0999999999999996" customHeight="1" x14ac:dyDescent="0.2"/>
    <row r="10" spans="1:30" ht="30" customHeight="1" x14ac:dyDescent="0.2">
      <c r="D10" s="366" t="s">
        <v>727</v>
      </c>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row>
    <row r="11" spans="1:30" ht="5.0999999999999996" customHeight="1" x14ac:dyDescent="0.2">
      <c r="C11" s="6"/>
      <c r="D11" s="7"/>
      <c r="E11" s="7"/>
      <c r="F11" s="8"/>
      <c r="G11" s="8"/>
      <c r="H11" s="8"/>
    </row>
    <row r="12" spans="1:30" ht="45.75" customHeight="1" x14ac:dyDescent="0.2">
      <c r="D12" s="368" t="s">
        <v>480</v>
      </c>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row>
    <row r="13" spans="1:30" ht="7.5" customHeight="1" x14ac:dyDescent="0.2">
      <c r="C13" s="6"/>
      <c r="D13" s="7"/>
      <c r="E13" s="7"/>
      <c r="F13" s="8"/>
      <c r="G13" s="8"/>
      <c r="H13" s="8"/>
    </row>
    <row r="14" spans="1:30" ht="45" customHeight="1" x14ac:dyDescent="0.2">
      <c r="D14" s="366" t="s">
        <v>355</v>
      </c>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row>
    <row r="15" spans="1:30" ht="7.5" customHeight="1" x14ac:dyDescent="0.2">
      <c r="D15" s="7"/>
      <c r="E15" s="7"/>
      <c r="F15" s="7"/>
      <c r="G15" s="7"/>
      <c r="H15" s="7"/>
      <c r="I15" s="7"/>
      <c r="J15" s="7"/>
      <c r="K15" s="7"/>
      <c r="L15" s="7"/>
      <c r="M15" s="7"/>
      <c r="N15" s="7"/>
      <c r="O15" s="7"/>
      <c r="P15" s="7"/>
      <c r="Q15" s="7"/>
      <c r="R15" s="7"/>
      <c r="S15" s="7"/>
      <c r="T15" s="7"/>
      <c r="U15" s="7"/>
      <c r="V15" s="7"/>
      <c r="W15" s="7"/>
      <c r="X15" s="7"/>
      <c r="Y15" s="7"/>
      <c r="Z15" s="7"/>
      <c r="AA15" s="7"/>
      <c r="AB15" s="7"/>
      <c r="AC15" s="7"/>
      <c r="AD15" s="7"/>
    </row>
    <row r="16" spans="1:30" ht="33" customHeight="1" x14ac:dyDescent="0.2">
      <c r="D16" s="366" t="s">
        <v>234</v>
      </c>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row>
    <row r="18" spans="3:30" x14ac:dyDescent="0.2">
      <c r="C18" s="371" t="s">
        <v>112</v>
      </c>
      <c r="D18" s="371"/>
      <c r="E18" s="371"/>
      <c r="F18" s="371"/>
      <c r="G18" s="371"/>
      <c r="H18" s="371"/>
    </row>
    <row r="19" spans="3:30" ht="7.5" customHeight="1" x14ac:dyDescent="0.2"/>
    <row r="20" spans="3:30" x14ac:dyDescent="0.2">
      <c r="D20" s="366" t="s">
        <v>235</v>
      </c>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row>
    <row r="21" spans="3:30" x14ac:dyDescent="0.2">
      <c r="D21" s="366" t="s">
        <v>113</v>
      </c>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row>
    <row r="22" spans="3:30" x14ac:dyDescent="0.2">
      <c r="D22" s="366" t="s">
        <v>297</v>
      </c>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row>
    <row r="23" spans="3:30" x14ac:dyDescent="0.2">
      <c r="D23" s="366" t="s">
        <v>584</v>
      </c>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row>
    <row r="24" spans="3:30" x14ac:dyDescent="0.2">
      <c r="D24" s="366" t="s">
        <v>585</v>
      </c>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row>
    <row r="25" spans="3:30" ht="15.75" customHeight="1" x14ac:dyDescent="0.2"/>
    <row r="26" spans="3:30" x14ac:dyDescent="0.2">
      <c r="C26" s="371" t="s">
        <v>114</v>
      </c>
      <c r="D26" s="371"/>
      <c r="E26" s="371"/>
      <c r="F26" s="371"/>
      <c r="G26" s="371"/>
      <c r="H26" s="371"/>
    </row>
    <row r="27" spans="3:30" ht="7.5" customHeight="1" x14ac:dyDescent="0.2"/>
    <row r="28" spans="3:30" ht="30" customHeight="1" x14ac:dyDescent="0.2">
      <c r="D28" s="366" t="s">
        <v>115</v>
      </c>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row>
    <row r="29" spans="3:30" ht="15.75" customHeight="1" x14ac:dyDescent="0.2"/>
    <row r="30" spans="3:30" x14ac:dyDescent="0.2">
      <c r="C30" s="371" t="s">
        <v>116</v>
      </c>
      <c r="D30" s="371"/>
      <c r="E30" s="371"/>
      <c r="F30" s="371"/>
      <c r="G30" s="371"/>
      <c r="H30" s="371"/>
    </row>
    <row r="31" spans="3:30" ht="7.5" customHeight="1" x14ac:dyDescent="0.2"/>
    <row r="32" spans="3:30" x14ac:dyDescent="0.2">
      <c r="D32" s="366" t="s">
        <v>247</v>
      </c>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row>
    <row r="33" spans="3:30" ht="32.25" customHeight="1" x14ac:dyDescent="0.2">
      <c r="D33" s="366" t="s">
        <v>481</v>
      </c>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row>
    <row r="34" spans="3:30" ht="32.25" customHeight="1" x14ac:dyDescent="0.2">
      <c r="D34" s="366" t="s">
        <v>356</v>
      </c>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7"/>
    </row>
    <row r="35" spans="3:30" ht="15.75" customHeight="1" x14ac:dyDescent="0.2">
      <c r="D35" s="370" t="s">
        <v>236</v>
      </c>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row>
    <row r="36" spans="3:30" ht="15.75" customHeight="1" x14ac:dyDescent="0.2">
      <c r="D36" s="232" t="s">
        <v>117</v>
      </c>
      <c r="E36" s="368" t="s">
        <v>743</v>
      </c>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row>
    <row r="37" spans="3:30" ht="15.75" customHeight="1" x14ac:dyDescent="0.2">
      <c r="D37" s="232" t="s">
        <v>117</v>
      </c>
      <c r="E37" s="368" t="s">
        <v>742</v>
      </c>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row>
    <row r="38" spans="3:30" ht="15.75" customHeight="1" x14ac:dyDescent="0.2">
      <c r="D38" s="232" t="s">
        <v>117</v>
      </c>
      <c r="E38" s="368" t="s">
        <v>586</v>
      </c>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row>
    <row r="39" spans="3:30" ht="15.75" customHeight="1" x14ac:dyDescent="0.2">
      <c r="D39" s="232" t="s">
        <v>117</v>
      </c>
      <c r="E39" s="370" t="s">
        <v>744</v>
      </c>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187"/>
    </row>
    <row r="40" spans="3:30" ht="15.75" customHeight="1" x14ac:dyDescent="0.2">
      <c r="D40" s="232" t="s">
        <v>117</v>
      </c>
      <c r="E40" s="368" t="s">
        <v>587</v>
      </c>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row>
    <row r="41" spans="3:30" ht="15.75" customHeight="1" x14ac:dyDescent="0.2">
      <c r="D41" s="232" t="s">
        <v>117</v>
      </c>
      <c r="E41" s="368" t="s">
        <v>237</v>
      </c>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row>
    <row r="42" spans="3:30" ht="7.5" customHeight="1" x14ac:dyDescent="0.2">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row>
    <row r="43" spans="3:30" x14ac:dyDescent="0.2">
      <c r="D43" s="368" t="s">
        <v>482</v>
      </c>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row>
    <row r="44" spans="3:30" x14ac:dyDescent="0.2">
      <c r="D44" s="368" t="s">
        <v>118</v>
      </c>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row>
    <row r="45" spans="3:30" ht="7.5" customHeight="1" x14ac:dyDescent="0.2"/>
    <row r="46" spans="3:30" x14ac:dyDescent="0.2">
      <c r="D46" s="366" t="s">
        <v>119</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row>
    <row r="47" spans="3:30" ht="28.5" customHeight="1" x14ac:dyDescent="0.2"/>
    <row r="48" spans="3:30" ht="21" x14ac:dyDescent="0.2">
      <c r="C48" s="391" t="s">
        <v>745</v>
      </c>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row>
    <row r="49" spans="3:30" ht="7.5" customHeight="1" x14ac:dyDescent="0.2">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3:30" x14ac:dyDescent="0.2">
      <c r="D50" s="366" t="s">
        <v>122</v>
      </c>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row>
    <row r="51" spans="3:30" ht="15.75" customHeight="1" x14ac:dyDescent="0.2">
      <c r="C51" s="3"/>
      <c r="D51" s="11"/>
      <c r="E51" s="367" t="s">
        <v>238</v>
      </c>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row>
    <row r="52" spans="3:30" ht="7.5" customHeight="1" x14ac:dyDescent="0.2"/>
    <row r="53" spans="3:30" x14ac:dyDescent="0.2">
      <c r="D53" s="366" t="s">
        <v>123</v>
      </c>
      <c r="E53" s="366"/>
      <c r="F53" s="366"/>
      <c r="G53" s="366"/>
      <c r="H53" s="366"/>
    </row>
    <row r="54" spans="3:30" ht="5.0999999999999996" customHeight="1" x14ac:dyDescent="0.2"/>
    <row r="55" spans="3:30" ht="15.75" customHeight="1" x14ac:dyDescent="0.2">
      <c r="C55" s="3"/>
      <c r="D55" s="386" t="s">
        <v>124</v>
      </c>
      <c r="E55" s="386"/>
      <c r="F55" s="367" t="s">
        <v>685</v>
      </c>
      <c r="G55" s="367"/>
      <c r="H55" s="367"/>
      <c r="I55" s="367"/>
      <c r="J55" s="367"/>
      <c r="K55" s="367"/>
      <c r="L55" s="367"/>
      <c r="M55" s="367"/>
      <c r="N55" s="367"/>
      <c r="O55" s="367"/>
      <c r="P55" s="367"/>
      <c r="Q55" s="367"/>
      <c r="R55" s="367"/>
      <c r="S55" s="367"/>
      <c r="T55" s="367"/>
      <c r="U55" s="367"/>
      <c r="V55" s="367"/>
      <c r="W55" s="367"/>
      <c r="X55" s="367"/>
      <c r="Y55" s="367"/>
      <c r="Z55" s="367"/>
      <c r="AA55" s="367"/>
      <c r="AB55" s="367"/>
      <c r="AC55" s="367"/>
      <c r="AD55" s="367"/>
    </row>
    <row r="56" spans="3:30" ht="15.75" customHeight="1" x14ac:dyDescent="0.2">
      <c r="C56" s="10"/>
      <c r="D56" s="386" t="s">
        <v>125</v>
      </c>
      <c r="E56" s="386"/>
      <c r="F56" s="367" t="s">
        <v>239</v>
      </c>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row>
    <row r="57" spans="3:30" ht="30" customHeight="1" x14ac:dyDescent="0.2">
      <c r="C57" s="10"/>
      <c r="D57" s="386" t="s">
        <v>746</v>
      </c>
      <c r="E57" s="386"/>
      <c r="F57" s="366" t="s">
        <v>749</v>
      </c>
      <c r="G57" s="366"/>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row>
    <row r="58" spans="3:30" ht="15.95" customHeight="1" x14ac:dyDescent="0.2">
      <c r="C58" s="10"/>
      <c r="D58" s="386" t="s">
        <v>747</v>
      </c>
      <c r="E58" s="386"/>
      <c r="F58" s="404" t="s">
        <v>752</v>
      </c>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8"/>
    </row>
    <row r="59" spans="3:30" ht="15.95" customHeight="1" x14ac:dyDescent="0.2">
      <c r="C59" s="10"/>
      <c r="D59" s="18"/>
      <c r="E59" s="18"/>
      <c r="F59" s="367" t="s">
        <v>576</v>
      </c>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8"/>
    </row>
    <row r="60" spans="3:30" ht="45" customHeight="1" x14ac:dyDescent="0.2">
      <c r="C60" s="10"/>
      <c r="D60" s="18"/>
      <c r="E60" s="18"/>
      <c r="F60" s="366" t="s">
        <v>201</v>
      </c>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7"/>
    </row>
    <row r="61" spans="3:30" ht="15.95" customHeight="1" x14ac:dyDescent="0.2">
      <c r="C61" s="10"/>
      <c r="D61" s="18"/>
      <c r="E61" s="18"/>
      <c r="F61" s="366" t="s">
        <v>304</v>
      </c>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row>
    <row r="62" spans="3:30" ht="15.95" customHeight="1" x14ac:dyDescent="0.2">
      <c r="C62" s="10"/>
      <c r="D62" s="18"/>
      <c r="E62" s="18"/>
      <c r="F62" s="367" t="s">
        <v>200</v>
      </c>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7"/>
    </row>
    <row r="63" spans="3:30" ht="15.75" customHeight="1" x14ac:dyDescent="0.2">
      <c r="C63" s="10"/>
      <c r="E63" s="18" t="s">
        <v>748</v>
      </c>
      <c r="F63" s="366" t="s">
        <v>468</v>
      </c>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row>
    <row r="64" spans="3:30" ht="15.75" customHeight="1" x14ac:dyDescent="0.2">
      <c r="C64" s="10"/>
      <c r="D64" s="386"/>
      <c r="E64" s="386"/>
      <c r="F64" s="8" t="s">
        <v>469</v>
      </c>
      <c r="G64" s="8"/>
      <c r="H64" s="8"/>
      <c r="I64" s="8"/>
      <c r="J64" s="8"/>
      <c r="K64" s="8"/>
      <c r="L64" s="8"/>
      <c r="M64" s="8"/>
      <c r="N64" s="8"/>
      <c r="O64" s="8"/>
      <c r="P64" s="8"/>
      <c r="Q64" s="8"/>
      <c r="R64" s="8"/>
      <c r="S64" s="8"/>
      <c r="T64" s="8"/>
      <c r="U64" s="8"/>
      <c r="V64" s="8"/>
      <c r="W64" s="8"/>
      <c r="X64" s="8"/>
      <c r="Y64" s="8"/>
      <c r="Z64" s="8"/>
      <c r="AA64" s="8"/>
      <c r="AB64" s="8"/>
    </row>
    <row r="65" spans="3:34" ht="15.75" customHeight="1" x14ac:dyDescent="0.2">
      <c r="C65" s="10"/>
      <c r="D65" s="18"/>
      <c r="E65" s="18"/>
      <c r="F65" s="367" t="s">
        <v>509</v>
      </c>
      <c r="G65" s="367"/>
      <c r="H65" s="367"/>
      <c r="I65" s="367"/>
      <c r="J65" s="367"/>
      <c r="K65" s="367"/>
      <c r="L65" s="367"/>
      <c r="M65" s="367"/>
      <c r="N65" s="367"/>
      <c r="O65" s="367"/>
      <c r="P65" s="367"/>
      <c r="Q65" s="367"/>
      <c r="R65" s="367"/>
      <c r="S65" s="367"/>
      <c r="T65" s="8"/>
      <c r="U65" s="8"/>
      <c r="V65" s="8"/>
      <c r="W65" s="8"/>
      <c r="X65" s="8"/>
      <c r="Y65" s="8"/>
      <c r="Z65" s="8"/>
      <c r="AA65" s="8"/>
      <c r="AB65" s="8"/>
      <c r="AC65" s="8"/>
      <c r="AD65" s="8"/>
      <c r="AE65" s="8"/>
      <c r="AF65" s="8"/>
      <c r="AG65" s="8"/>
      <c r="AH65" s="8"/>
    </row>
    <row r="66" spans="3:34" ht="15.75" customHeight="1" x14ac:dyDescent="0.2">
      <c r="C66" s="10"/>
      <c r="D66" s="18"/>
      <c r="E66" s="18"/>
      <c r="F66" s="8" t="s">
        <v>607</v>
      </c>
      <c r="H66" s="4"/>
      <c r="I66" s="18"/>
      <c r="J66" s="18"/>
      <c r="K66" s="8"/>
      <c r="L66" s="8"/>
      <c r="M66" s="8"/>
      <c r="N66" s="8"/>
      <c r="O66" s="8"/>
      <c r="P66" s="8"/>
      <c r="Q66" s="8"/>
      <c r="R66" s="8"/>
      <c r="S66" s="8"/>
      <c r="T66" s="8"/>
      <c r="U66" s="8"/>
      <c r="V66" s="8"/>
      <c r="W66" s="8"/>
      <c r="X66" s="8"/>
      <c r="Y66" s="8"/>
      <c r="Z66" s="8"/>
      <c r="AA66" s="8"/>
      <c r="AB66" s="8"/>
      <c r="AC66" s="8"/>
      <c r="AD66" s="8"/>
      <c r="AE66" s="8"/>
      <c r="AF66" s="8"/>
      <c r="AG66" s="8"/>
      <c r="AH66" s="8"/>
    </row>
    <row r="67" spans="3:34" ht="15.75" customHeight="1" x14ac:dyDescent="0.2">
      <c r="C67" s="10"/>
      <c r="D67" s="18"/>
      <c r="E67" s="18"/>
      <c r="F67" s="366" t="s">
        <v>751</v>
      </c>
      <c r="G67" s="366"/>
      <c r="H67" s="366"/>
      <c r="I67" s="366"/>
      <c r="J67" s="366"/>
      <c r="K67" s="366"/>
      <c r="L67" s="366"/>
      <c r="M67" s="366"/>
      <c r="N67" s="366"/>
      <c r="O67" s="366"/>
      <c r="P67" s="366"/>
      <c r="Q67" s="366"/>
      <c r="R67" s="366"/>
      <c r="S67" s="366"/>
      <c r="T67" s="366"/>
      <c r="U67" s="366"/>
      <c r="V67" s="366"/>
      <c r="W67" s="366"/>
      <c r="X67" s="366"/>
      <c r="Y67" s="366"/>
      <c r="Z67" s="366"/>
      <c r="AA67" s="366"/>
      <c r="AB67" s="366"/>
      <c r="AC67" s="8"/>
      <c r="AD67" s="8"/>
      <c r="AE67" s="8"/>
      <c r="AF67" s="8"/>
      <c r="AG67" s="8"/>
      <c r="AH67" s="8"/>
    </row>
    <row r="68" spans="3:34" ht="15.75" customHeight="1" x14ac:dyDescent="0.2">
      <c r="C68" s="10"/>
      <c r="D68" s="18"/>
      <c r="E68" s="18"/>
      <c r="F68" s="7"/>
      <c r="G68" s="7"/>
      <c r="H68" s="7"/>
      <c r="I68" s="7"/>
      <c r="J68" s="7"/>
      <c r="K68" s="7"/>
      <c r="L68" s="7"/>
      <c r="M68" s="7"/>
      <c r="N68" s="7"/>
      <c r="O68" s="7"/>
      <c r="P68" s="7"/>
      <c r="Q68" s="7"/>
      <c r="R68" s="7"/>
      <c r="S68" s="7"/>
      <c r="T68" s="7"/>
      <c r="U68" s="7"/>
      <c r="V68" s="7"/>
      <c r="W68" s="7"/>
      <c r="X68" s="7"/>
      <c r="Y68" s="7"/>
      <c r="Z68" s="7"/>
      <c r="AA68" s="7"/>
      <c r="AB68" s="7"/>
      <c r="AC68" s="8"/>
      <c r="AD68" s="8"/>
      <c r="AE68" s="8"/>
      <c r="AF68" s="8"/>
      <c r="AG68" s="8"/>
      <c r="AH68" s="8"/>
    </row>
    <row r="69" spans="3:34" ht="21" x14ac:dyDescent="0.2">
      <c r="C69" s="391" t="s">
        <v>750</v>
      </c>
      <c r="D69" s="391"/>
      <c r="E69" s="391"/>
      <c r="F69" s="391"/>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row>
    <row r="70" spans="3:34" s="16" customFormat="1" ht="20.100000000000001" customHeight="1" x14ac:dyDescent="0.2">
      <c r="C70" s="17"/>
      <c r="D70" s="16" t="s">
        <v>240</v>
      </c>
      <c r="H70" s="16" t="s">
        <v>120</v>
      </c>
      <c r="I70" s="129"/>
      <c r="J70" s="130" t="s">
        <v>121</v>
      </c>
      <c r="K70" s="365" t="s">
        <v>241</v>
      </c>
      <c r="L70" s="365"/>
      <c r="M70" s="365"/>
    </row>
    <row r="71" spans="3:34" ht="5.0999999999999996" customHeight="1" x14ac:dyDescent="0.2"/>
    <row r="72" spans="3:34" x14ac:dyDescent="0.2">
      <c r="D72" s="366" t="s">
        <v>122</v>
      </c>
      <c r="E72" s="366"/>
      <c r="F72" s="366"/>
      <c r="G72" s="366"/>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row>
    <row r="73" spans="3:34" ht="15.75" customHeight="1" x14ac:dyDescent="0.2">
      <c r="C73" s="3"/>
      <c r="D73" s="11"/>
      <c r="E73" s="367" t="s">
        <v>298</v>
      </c>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row>
    <row r="74" spans="3:34" ht="5.0999999999999996" customHeight="1" x14ac:dyDescent="0.2"/>
    <row r="75" spans="3:34" x14ac:dyDescent="0.2">
      <c r="D75" s="366" t="s">
        <v>123</v>
      </c>
      <c r="E75" s="366"/>
      <c r="F75" s="366"/>
      <c r="G75" s="366"/>
      <c r="H75" s="366"/>
    </row>
    <row r="76" spans="3:34" ht="5.0999999999999996" customHeight="1" x14ac:dyDescent="0.2"/>
    <row r="77" spans="3:34" ht="15.75" customHeight="1" x14ac:dyDescent="0.2">
      <c r="C77" s="3"/>
      <c r="D77" s="386" t="s">
        <v>140</v>
      </c>
      <c r="E77" s="386"/>
      <c r="F77" s="367" t="s">
        <v>243</v>
      </c>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row>
    <row r="78" spans="3:34" ht="15.75" customHeight="1" x14ac:dyDescent="0.2">
      <c r="C78" s="3"/>
      <c r="D78" s="18"/>
      <c r="E78" s="18"/>
      <c r="F78" s="8" t="s">
        <v>244</v>
      </c>
      <c r="G78" s="8"/>
      <c r="H78" s="8"/>
      <c r="I78" s="8"/>
      <c r="J78" s="8"/>
      <c r="K78" s="8"/>
      <c r="L78" s="8"/>
      <c r="M78" s="8"/>
      <c r="N78" s="8"/>
      <c r="O78" s="8"/>
      <c r="P78" s="8"/>
      <c r="Q78" s="8"/>
      <c r="R78" s="8"/>
      <c r="S78" s="8"/>
      <c r="T78" s="8"/>
      <c r="U78" s="8"/>
      <c r="V78" s="8"/>
      <c r="W78" s="8"/>
      <c r="X78" s="8"/>
      <c r="Y78" s="8"/>
      <c r="Z78" s="8"/>
      <c r="AA78" s="8"/>
      <c r="AB78" s="8"/>
      <c r="AC78" s="8"/>
      <c r="AD78" s="8"/>
    </row>
    <row r="79" spans="3:34" ht="5.25" customHeight="1" x14ac:dyDescent="0.2">
      <c r="C79" s="3"/>
      <c r="D79" s="18"/>
      <c r="E79" s="18"/>
      <c r="F79" s="8"/>
      <c r="G79" s="8"/>
      <c r="H79" s="8"/>
      <c r="I79" s="8"/>
      <c r="J79" s="8"/>
      <c r="K79" s="8"/>
      <c r="L79" s="8"/>
      <c r="M79" s="8"/>
      <c r="N79" s="8"/>
      <c r="O79" s="8"/>
      <c r="P79" s="8"/>
      <c r="Q79" s="8"/>
      <c r="R79" s="8"/>
      <c r="S79" s="8"/>
      <c r="T79" s="8"/>
      <c r="U79" s="8"/>
      <c r="V79" s="8"/>
      <c r="W79" s="8"/>
      <c r="X79" s="8"/>
      <c r="Y79" s="8"/>
      <c r="Z79" s="8"/>
      <c r="AA79" s="8"/>
      <c r="AB79" s="8"/>
      <c r="AC79" s="8"/>
      <c r="AD79" s="8"/>
    </row>
    <row r="80" spans="3:34" ht="15.75" customHeight="1" x14ac:dyDescent="0.2">
      <c r="C80" s="3"/>
      <c r="D80" s="386" t="s">
        <v>141</v>
      </c>
      <c r="E80" s="386"/>
      <c r="F80" s="367" t="s">
        <v>242</v>
      </c>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row>
    <row r="81" spans="3:30" ht="15.75" customHeight="1" x14ac:dyDescent="0.2">
      <c r="C81" s="3"/>
      <c r="D81" s="18"/>
      <c r="E81" s="18"/>
      <c r="F81" s="8" t="s">
        <v>245</v>
      </c>
      <c r="G81" s="8"/>
      <c r="H81" s="8"/>
      <c r="I81" s="8"/>
      <c r="J81" s="8"/>
      <c r="K81" s="8"/>
      <c r="L81" s="8"/>
      <c r="M81" s="8"/>
      <c r="N81" s="8"/>
      <c r="O81" s="8"/>
      <c r="P81" s="8"/>
      <c r="Q81" s="8"/>
      <c r="R81" s="8"/>
      <c r="S81" s="8"/>
      <c r="T81" s="8"/>
      <c r="U81" s="8"/>
      <c r="V81" s="8"/>
      <c r="W81" s="8"/>
      <c r="X81" s="8"/>
      <c r="Y81" s="8"/>
      <c r="Z81" s="8"/>
      <c r="AA81" s="8"/>
      <c r="AB81" s="8"/>
      <c r="AC81" s="8"/>
      <c r="AD81" s="8"/>
    </row>
    <row r="82" spans="3:30" ht="15.75" customHeight="1" x14ac:dyDescent="0.2">
      <c r="C82" s="3"/>
      <c r="D82" s="18"/>
      <c r="E82" s="18"/>
      <c r="F82" s="8" t="s">
        <v>246</v>
      </c>
      <c r="G82" s="8"/>
      <c r="H82" s="8"/>
      <c r="I82" s="8"/>
      <c r="J82" s="8"/>
      <c r="K82" s="8"/>
      <c r="L82" s="8"/>
      <c r="M82" s="8"/>
      <c r="N82" s="8"/>
      <c r="O82" s="8"/>
      <c r="P82" s="8"/>
      <c r="Q82" s="8"/>
      <c r="R82" s="8"/>
      <c r="S82" s="8"/>
      <c r="T82" s="8"/>
      <c r="U82" s="8"/>
      <c r="V82" s="8"/>
      <c r="W82" s="8"/>
      <c r="X82" s="8"/>
      <c r="Y82" s="8"/>
      <c r="Z82" s="8"/>
      <c r="AA82" s="8"/>
      <c r="AB82" s="8"/>
      <c r="AC82" s="8"/>
      <c r="AD82" s="8"/>
    </row>
    <row r="83" spans="3:30" ht="6" customHeight="1" x14ac:dyDescent="0.2">
      <c r="C83" s="3"/>
      <c r="D83" s="18"/>
      <c r="E83" s="18"/>
      <c r="F83" s="19"/>
      <c r="G83" s="8"/>
      <c r="H83" s="8"/>
      <c r="I83" s="8"/>
      <c r="J83" s="8"/>
      <c r="K83" s="8"/>
      <c r="L83" s="8"/>
      <c r="M83" s="8"/>
      <c r="N83" s="8"/>
      <c r="O83" s="8"/>
      <c r="P83" s="8"/>
      <c r="Q83" s="8"/>
      <c r="R83" s="8"/>
      <c r="S83" s="8"/>
      <c r="T83" s="8"/>
      <c r="U83" s="8"/>
      <c r="V83" s="8"/>
      <c r="W83" s="8"/>
      <c r="X83" s="8"/>
      <c r="Y83" s="8"/>
      <c r="Z83" s="8"/>
      <c r="AA83" s="8"/>
      <c r="AB83" s="8"/>
      <c r="AC83" s="8"/>
      <c r="AD83" s="8"/>
    </row>
    <row r="84" spans="3:30" ht="15.75" customHeight="1" x14ac:dyDescent="0.2">
      <c r="C84" s="3"/>
      <c r="D84" s="386" t="s">
        <v>142</v>
      </c>
      <c r="E84" s="386"/>
      <c r="F84" s="369" t="s">
        <v>483</v>
      </c>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row>
    <row r="85" spans="3:30" ht="5.0999999999999996" customHeight="1" x14ac:dyDescent="0.2"/>
    <row r="86" spans="3:30" ht="15.75" customHeight="1" x14ac:dyDescent="0.2">
      <c r="C86" s="3"/>
      <c r="D86" s="386"/>
      <c r="E86" s="386"/>
      <c r="F86" s="367"/>
      <c r="G86" s="367"/>
      <c r="H86" s="367"/>
      <c r="I86" s="367"/>
      <c r="J86" s="367"/>
      <c r="K86" s="367"/>
      <c r="L86" s="367"/>
      <c r="M86" s="367"/>
      <c r="N86" s="367"/>
      <c r="O86" s="367"/>
      <c r="P86" s="367"/>
      <c r="Q86" s="367"/>
      <c r="R86" s="367"/>
      <c r="S86" s="367"/>
      <c r="T86" s="367"/>
      <c r="U86" s="367"/>
      <c r="V86" s="367"/>
      <c r="W86" s="367"/>
      <c r="X86" s="367"/>
      <c r="Y86" s="367"/>
      <c r="Z86" s="367"/>
      <c r="AA86" s="367"/>
      <c r="AB86" s="367"/>
      <c r="AC86" s="367"/>
      <c r="AD86" s="367"/>
    </row>
    <row r="87" spans="3:30" ht="21" x14ac:dyDescent="0.2">
      <c r="C87" s="391" t="s">
        <v>259</v>
      </c>
      <c r="D87" s="391"/>
      <c r="E87" s="391"/>
      <c r="F87" s="391"/>
      <c r="G87" s="391"/>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row>
    <row r="88" spans="3:30" ht="5.0999999999999996" customHeight="1" x14ac:dyDescent="0.2"/>
    <row r="89" spans="3:30" ht="7.5" customHeight="1" x14ac:dyDescent="0.2"/>
    <row r="90" spans="3:30" x14ac:dyDescent="0.2">
      <c r="D90" s="366" t="s">
        <v>122</v>
      </c>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row>
    <row r="91" spans="3:30" ht="15.75" customHeight="1" x14ac:dyDescent="0.2">
      <c r="C91" s="3"/>
      <c r="D91" s="11"/>
      <c r="E91" s="367" t="s">
        <v>357</v>
      </c>
      <c r="F91" s="367"/>
      <c r="G91" s="367"/>
      <c r="H91" s="367"/>
      <c r="I91" s="367"/>
      <c r="J91" s="367"/>
      <c r="K91" s="367"/>
      <c r="L91" s="367"/>
      <c r="M91" s="367"/>
      <c r="N91" s="367"/>
      <c r="O91" s="367"/>
      <c r="P91" s="367"/>
      <c r="Q91" s="367"/>
      <c r="R91" s="367"/>
      <c r="S91" s="367"/>
      <c r="T91" s="367"/>
      <c r="U91" s="367"/>
      <c r="V91" s="367"/>
      <c r="W91" s="367"/>
      <c r="X91" s="367"/>
      <c r="Y91" s="367"/>
      <c r="Z91" s="367"/>
      <c r="AA91" s="367"/>
      <c r="AB91" s="367"/>
      <c r="AC91" s="367"/>
      <c r="AD91" s="367"/>
    </row>
    <row r="92" spans="3:30" ht="5.0999999999999996" customHeight="1" x14ac:dyDescent="0.2"/>
    <row r="93" spans="3:30" x14ac:dyDescent="0.2">
      <c r="D93" s="366" t="s">
        <v>123</v>
      </c>
      <c r="E93" s="366"/>
      <c r="F93" s="366"/>
      <c r="G93" s="366"/>
      <c r="H93" s="366"/>
    </row>
    <row r="94" spans="3:30" ht="5.0999999999999996" customHeight="1" x14ac:dyDescent="0.2"/>
    <row r="95" spans="3:30" ht="29.25" customHeight="1" x14ac:dyDescent="0.2">
      <c r="C95" s="3"/>
      <c r="D95" s="386" t="s">
        <v>219</v>
      </c>
      <c r="E95" s="386"/>
      <c r="F95" s="366" t="s">
        <v>753</v>
      </c>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row>
    <row r="96" spans="3:30" ht="15.75" customHeight="1" x14ac:dyDescent="0.2">
      <c r="C96" s="3"/>
      <c r="D96" s="386" t="s">
        <v>220</v>
      </c>
      <c r="E96" s="386"/>
      <c r="F96" s="367" t="s">
        <v>754</v>
      </c>
      <c r="G96" s="367"/>
      <c r="H96" s="367"/>
      <c r="I96" s="367"/>
      <c r="J96" s="367"/>
      <c r="K96" s="367"/>
      <c r="L96" s="367"/>
      <c r="M96" s="367"/>
      <c r="N96" s="367"/>
      <c r="O96" s="367"/>
      <c r="P96" s="367"/>
      <c r="Q96" s="367"/>
      <c r="R96" s="367"/>
      <c r="S96" s="367"/>
      <c r="T96" s="367"/>
      <c r="U96" s="367"/>
      <c r="V96" s="367"/>
      <c r="W96" s="367"/>
      <c r="X96" s="367"/>
      <c r="Y96" s="367"/>
      <c r="Z96" s="367"/>
      <c r="AA96" s="367"/>
      <c r="AB96" s="367"/>
      <c r="AC96" s="367"/>
      <c r="AD96" s="367"/>
    </row>
    <row r="97" spans="3:30" ht="15.75" customHeight="1" x14ac:dyDescent="0.2">
      <c r="C97" s="3"/>
      <c r="D97" s="18"/>
      <c r="E97" s="18" t="s">
        <v>221</v>
      </c>
      <c r="F97" s="8" t="s">
        <v>755</v>
      </c>
      <c r="G97" s="8"/>
      <c r="H97" s="8"/>
      <c r="I97" s="8"/>
      <c r="J97" s="8"/>
      <c r="K97" s="8"/>
      <c r="L97" s="8"/>
      <c r="M97" s="8"/>
      <c r="N97" s="8"/>
      <c r="O97" s="8"/>
      <c r="P97" s="8"/>
      <c r="Q97" s="8"/>
      <c r="R97" s="8"/>
      <c r="S97" s="8"/>
      <c r="T97" s="8"/>
      <c r="U97" s="8"/>
      <c r="V97" s="8"/>
      <c r="W97" s="8"/>
      <c r="X97" s="8"/>
      <c r="Y97" s="8"/>
      <c r="Z97" s="8"/>
      <c r="AA97" s="8"/>
      <c r="AB97" s="8"/>
      <c r="AC97" s="8"/>
      <c r="AD97" s="8"/>
    </row>
    <row r="98" spans="3:30" ht="15.75" customHeight="1" x14ac:dyDescent="0.2">
      <c r="C98" s="3"/>
      <c r="D98" s="18"/>
      <c r="E98" s="18" t="s">
        <v>223</v>
      </c>
      <c r="F98" s="8" t="s">
        <v>756</v>
      </c>
      <c r="G98" s="8"/>
      <c r="H98" s="8"/>
      <c r="I98" s="8"/>
      <c r="J98" s="8"/>
      <c r="K98" s="8"/>
      <c r="L98" s="8"/>
      <c r="M98" s="8"/>
      <c r="N98" s="8"/>
      <c r="O98" s="8"/>
      <c r="P98" s="8"/>
      <c r="Q98" s="8"/>
      <c r="R98" s="8"/>
      <c r="S98" s="8"/>
      <c r="T98" s="8"/>
      <c r="U98" s="8"/>
      <c r="V98" s="8"/>
      <c r="W98" s="8"/>
      <c r="X98" s="8"/>
      <c r="Y98" s="8"/>
      <c r="Z98" s="8"/>
      <c r="AA98" s="8"/>
      <c r="AB98" s="8"/>
      <c r="AC98" s="8"/>
      <c r="AD98" s="8"/>
    </row>
    <row r="99" spans="3:30" ht="15.75" customHeight="1" x14ac:dyDescent="0.2">
      <c r="C99" s="3"/>
      <c r="D99" s="18"/>
      <c r="E99" s="18"/>
      <c r="F99" s="367" t="s">
        <v>416</v>
      </c>
      <c r="G99" s="367"/>
      <c r="H99" s="367"/>
      <c r="I99" s="367"/>
      <c r="J99" s="367"/>
      <c r="K99" s="367"/>
      <c r="L99" s="367"/>
      <c r="M99" s="367"/>
      <c r="N99" s="367"/>
      <c r="O99" s="367"/>
      <c r="P99" s="367"/>
      <c r="Q99" s="367"/>
      <c r="R99" s="367"/>
      <c r="S99" s="367"/>
      <c r="T99" s="367"/>
      <c r="U99" s="367"/>
      <c r="V99" s="8"/>
      <c r="W99" s="8"/>
      <c r="X99" s="8"/>
      <c r="Y99" s="8"/>
      <c r="Z99" s="8"/>
      <c r="AA99" s="8"/>
      <c r="AB99" s="8"/>
      <c r="AC99" s="8"/>
      <c r="AD99" s="8"/>
    </row>
    <row r="100" spans="3:30" ht="15.75" customHeight="1" x14ac:dyDescent="0.2">
      <c r="C100" s="3"/>
      <c r="D100" s="18"/>
      <c r="E100" s="18" t="s">
        <v>224</v>
      </c>
      <c r="F100" s="8" t="s">
        <v>757</v>
      </c>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3:30" ht="7.5" customHeight="1" x14ac:dyDescent="0.2">
      <c r="C101" s="3"/>
      <c r="D101" s="18"/>
      <c r="E101" s="1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3:30" ht="30" customHeight="1" x14ac:dyDescent="0.2">
      <c r="C102" s="3"/>
      <c r="D102" s="18"/>
      <c r="E102" s="18"/>
      <c r="F102" s="452" t="s">
        <v>589</v>
      </c>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4"/>
      <c r="AD102" s="8"/>
    </row>
    <row r="103" spans="3:30" ht="7.5" customHeight="1" x14ac:dyDescent="0.2">
      <c r="C103" s="3"/>
      <c r="D103" s="18"/>
      <c r="E103" s="18"/>
      <c r="F103" s="7"/>
      <c r="G103" s="7"/>
      <c r="H103" s="7"/>
      <c r="I103" s="7"/>
      <c r="J103" s="7"/>
      <c r="K103" s="7"/>
      <c r="L103" s="7"/>
      <c r="M103" s="7"/>
      <c r="N103" s="7"/>
      <c r="O103" s="7"/>
      <c r="P103" s="7"/>
      <c r="Q103" s="7"/>
      <c r="R103" s="7"/>
      <c r="S103" s="7"/>
      <c r="T103" s="7"/>
      <c r="U103" s="7"/>
      <c r="V103" s="7"/>
      <c r="W103" s="7"/>
      <c r="X103" s="7"/>
      <c r="Y103" s="7"/>
      <c r="Z103" s="7"/>
      <c r="AA103" s="7"/>
      <c r="AB103" s="7"/>
      <c r="AC103" s="7"/>
      <c r="AD103" s="8"/>
    </row>
    <row r="104" spans="3:30" ht="30" customHeight="1" x14ac:dyDescent="0.2">
      <c r="C104" s="3"/>
      <c r="D104" s="18"/>
      <c r="E104" s="18" t="s">
        <v>225</v>
      </c>
      <c r="F104" s="366" t="s">
        <v>758</v>
      </c>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row>
    <row r="105" spans="3:30" ht="15.75" customHeight="1" x14ac:dyDescent="0.2">
      <c r="C105" s="3"/>
      <c r="D105" s="18"/>
      <c r="E105" s="18"/>
      <c r="V105" s="8"/>
      <c r="W105" s="8"/>
      <c r="X105" s="8"/>
      <c r="Y105" s="8"/>
      <c r="Z105" s="8"/>
      <c r="AA105" s="8"/>
      <c r="AB105" s="8"/>
      <c r="AC105" s="8"/>
      <c r="AD105" s="8"/>
    </row>
    <row r="106" spans="3:30" ht="7.5" customHeight="1" x14ac:dyDescent="0.2">
      <c r="C106" s="3"/>
      <c r="D106" s="18"/>
      <c r="E106" s="18"/>
      <c r="F106" s="188"/>
      <c r="G106" s="188"/>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7"/>
      <c r="AD106" s="187"/>
    </row>
    <row r="107" spans="3:30" ht="21" x14ac:dyDescent="0.2">
      <c r="C107" s="10" t="s">
        <v>345</v>
      </c>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row>
    <row r="108" spans="3:30" s="16" customFormat="1" ht="20.100000000000001" customHeight="1" x14ac:dyDescent="0.2">
      <c r="C108" s="17"/>
      <c r="D108" s="16" t="s">
        <v>519</v>
      </c>
      <c r="H108" s="16" t="s">
        <v>120</v>
      </c>
      <c r="I108" s="129"/>
      <c r="J108" s="130" t="s">
        <v>121</v>
      </c>
      <c r="K108" s="365" t="s">
        <v>520</v>
      </c>
      <c r="L108" s="365"/>
      <c r="M108" s="365"/>
    </row>
    <row r="109" spans="3:30" ht="7.5" customHeight="1" x14ac:dyDescent="0.2"/>
    <row r="110" spans="3:30" ht="5.0999999999999996" customHeight="1" x14ac:dyDescent="0.2"/>
    <row r="111" spans="3:30" x14ac:dyDescent="0.2">
      <c r="D111" s="366" t="s">
        <v>123</v>
      </c>
      <c r="E111" s="366"/>
      <c r="F111" s="366"/>
      <c r="G111" s="366"/>
      <c r="H111" s="366"/>
    </row>
    <row r="112" spans="3:30" ht="5.0999999999999996" customHeight="1" x14ac:dyDescent="0.2"/>
    <row r="113" spans="1:30" ht="20.100000000000001" customHeight="1" x14ac:dyDescent="0.2">
      <c r="C113" s="3"/>
      <c r="D113" s="17" t="s">
        <v>766</v>
      </c>
    </row>
    <row r="114" spans="1:30" ht="7.5" customHeight="1" x14ac:dyDescent="0.2">
      <c r="F114" s="9"/>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x14ac:dyDescent="0.2">
      <c r="D115" s="386" t="s">
        <v>226</v>
      </c>
      <c r="E115" s="386" t="s">
        <v>141</v>
      </c>
      <c r="F115" s="3" t="s">
        <v>143</v>
      </c>
    </row>
    <row r="116" spans="1:30" ht="5.0999999999999996" customHeight="1" x14ac:dyDescent="0.2"/>
    <row r="117" spans="1:30" ht="32.1" customHeight="1" x14ac:dyDescent="0.2">
      <c r="C117" s="3"/>
      <c r="D117" s="386"/>
      <c r="E117" s="386"/>
      <c r="F117" s="366" t="s">
        <v>759</v>
      </c>
      <c r="G117" s="366"/>
      <c r="H117" s="366"/>
      <c r="I117" s="366"/>
      <c r="J117" s="366"/>
      <c r="K117" s="366"/>
      <c r="L117" s="366"/>
      <c r="M117" s="366"/>
      <c r="N117" s="366"/>
      <c r="O117" s="366"/>
      <c r="P117" s="366"/>
      <c r="Q117" s="366"/>
      <c r="R117" s="366"/>
      <c r="S117" s="366"/>
      <c r="T117" s="366"/>
      <c r="U117" s="366"/>
      <c r="V117" s="366"/>
      <c r="W117" s="366"/>
      <c r="X117" s="366"/>
      <c r="Y117" s="366"/>
      <c r="Z117" s="366"/>
      <c r="AA117" s="366"/>
      <c r="AB117" s="366"/>
      <c r="AC117" s="7"/>
      <c r="AD117" s="7"/>
    </row>
    <row r="118" spans="1:30" ht="15.75" customHeight="1" x14ac:dyDescent="0.2">
      <c r="C118" s="3"/>
      <c r="D118" s="18"/>
      <c r="E118" s="18"/>
      <c r="F118" s="367" t="s">
        <v>760</v>
      </c>
      <c r="G118" s="367"/>
      <c r="H118" s="367"/>
      <c r="I118" s="367"/>
      <c r="J118" s="367"/>
      <c r="K118" s="367"/>
      <c r="L118" s="367"/>
      <c r="M118" s="367"/>
      <c r="N118" s="367"/>
      <c r="O118" s="367"/>
      <c r="P118" s="367"/>
      <c r="Q118" s="367"/>
      <c r="R118" s="367"/>
      <c r="S118" s="367"/>
      <c r="T118" s="367"/>
      <c r="U118" s="367"/>
      <c r="V118" s="367"/>
      <c r="W118" s="367"/>
      <c r="X118" s="367"/>
      <c r="Y118" s="367"/>
      <c r="Z118" s="367"/>
      <c r="AA118" s="367"/>
      <c r="AB118" s="367"/>
      <c r="AC118" s="7"/>
      <c r="AD118" s="7"/>
    </row>
    <row r="119" spans="1:30" ht="15.75" customHeight="1" x14ac:dyDescent="0.2">
      <c r="C119" s="3"/>
      <c r="D119" s="11"/>
      <c r="E119" s="11"/>
      <c r="F119" s="367" t="s">
        <v>761</v>
      </c>
      <c r="G119" s="367"/>
      <c r="H119" s="367"/>
      <c r="I119" s="367"/>
      <c r="J119" s="367"/>
      <c r="K119" s="367"/>
      <c r="L119" s="367"/>
      <c r="M119" s="367"/>
      <c r="N119" s="367"/>
      <c r="O119" s="367"/>
      <c r="P119" s="367"/>
      <c r="Q119" s="367"/>
      <c r="R119" s="367"/>
      <c r="S119" s="367"/>
      <c r="T119" s="367"/>
      <c r="U119" s="367"/>
      <c r="V119" s="367"/>
      <c r="W119" s="367"/>
      <c r="X119" s="367"/>
      <c r="Y119" s="367"/>
      <c r="Z119" s="367"/>
      <c r="AA119" s="367"/>
    </row>
    <row r="120" spans="1:30" ht="15.75" customHeight="1" x14ac:dyDescent="0.2">
      <c r="C120" s="3"/>
      <c r="D120" s="11"/>
      <c r="E120" s="11"/>
      <c r="F120" s="367" t="s">
        <v>762</v>
      </c>
      <c r="G120" s="367"/>
      <c r="H120" s="367"/>
      <c r="I120" s="367"/>
      <c r="J120" s="367"/>
      <c r="K120" s="367"/>
      <c r="L120" s="367"/>
      <c r="M120" s="367"/>
      <c r="N120" s="367"/>
      <c r="O120" s="367"/>
      <c r="P120" s="367"/>
      <c r="Q120" s="367"/>
      <c r="R120" s="367"/>
      <c r="S120" s="367"/>
      <c r="T120" s="367"/>
      <c r="U120" s="367"/>
      <c r="V120" s="367"/>
      <c r="W120" s="367"/>
      <c r="X120" s="367"/>
      <c r="Y120" s="367"/>
      <c r="Z120" s="367"/>
      <c r="AA120" s="367"/>
    </row>
    <row r="121" spans="1:30" ht="15.75" customHeight="1" x14ac:dyDescent="0.2">
      <c r="C121" s="3"/>
      <c r="D121" s="11"/>
      <c r="E121" s="11"/>
      <c r="F121" s="367" t="s">
        <v>763</v>
      </c>
      <c r="G121" s="367"/>
      <c r="H121" s="367"/>
      <c r="I121" s="367"/>
      <c r="J121" s="367"/>
      <c r="K121" s="367"/>
      <c r="L121" s="367"/>
      <c r="M121" s="367"/>
      <c r="N121" s="367"/>
      <c r="O121" s="367"/>
      <c r="P121" s="367"/>
      <c r="Q121" s="367"/>
      <c r="R121" s="367"/>
      <c r="S121" s="367"/>
      <c r="T121" s="367"/>
      <c r="U121" s="367"/>
      <c r="V121" s="367"/>
      <c r="W121" s="367"/>
      <c r="X121" s="367"/>
      <c r="Y121" s="367"/>
      <c r="Z121" s="367"/>
      <c r="AA121" s="367"/>
    </row>
    <row r="122" spans="1:30" ht="15.75" customHeight="1" x14ac:dyDescent="0.2">
      <c r="C122" s="3"/>
      <c r="D122" s="11"/>
      <c r="E122" s="11"/>
      <c r="F122" s="367" t="s">
        <v>764</v>
      </c>
      <c r="G122" s="367"/>
      <c r="H122" s="367"/>
      <c r="I122" s="367"/>
      <c r="J122" s="367"/>
      <c r="K122" s="367"/>
      <c r="L122" s="367"/>
      <c r="M122" s="367"/>
      <c r="N122" s="367"/>
      <c r="O122" s="367"/>
      <c r="P122" s="367"/>
      <c r="Q122" s="367"/>
      <c r="R122" s="367"/>
      <c r="S122" s="367"/>
      <c r="T122" s="367"/>
      <c r="U122" s="367"/>
      <c r="V122" s="367"/>
      <c r="W122" s="367"/>
      <c r="X122" s="367"/>
      <c r="Y122" s="367"/>
      <c r="Z122" s="367"/>
      <c r="AA122" s="367"/>
    </row>
    <row r="123" spans="1:30" ht="15.75" customHeight="1" x14ac:dyDescent="0.2">
      <c r="C123" s="3"/>
      <c r="D123" s="11"/>
      <c r="E123" s="11"/>
      <c r="F123" s="8" t="s">
        <v>765</v>
      </c>
      <c r="G123" s="8"/>
      <c r="H123" s="8"/>
      <c r="I123" s="8"/>
      <c r="J123" s="8"/>
      <c r="K123" s="8"/>
      <c r="L123" s="8"/>
      <c r="M123" s="8"/>
      <c r="N123" s="8"/>
      <c r="O123" s="8"/>
      <c r="P123" s="8"/>
      <c r="Q123" s="8"/>
      <c r="R123" s="8"/>
      <c r="S123" s="8"/>
      <c r="T123" s="8"/>
      <c r="U123" s="8"/>
      <c r="V123" s="8"/>
      <c r="W123" s="8"/>
      <c r="X123" s="8"/>
      <c r="Y123" s="8"/>
      <c r="Z123" s="8"/>
      <c r="AA123" s="8"/>
    </row>
    <row r="124" spans="1:30" ht="15.75" customHeight="1" x14ac:dyDescent="0.2">
      <c r="C124" s="3"/>
      <c r="D124" s="11"/>
      <c r="E124" s="11" t="s">
        <v>227</v>
      </c>
      <c r="F124" s="8" t="s">
        <v>767</v>
      </c>
      <c r="G124" s="8"/>
      <c r="H124" s="8"/>
      <c r="I124" s="8"/>
      <c r="J124" s="8"/>
      <c r="K124" s="8"/>
      <c r="L124" s="8"/>
      <c r="M124" s="8"/>
      <c r="N124" s="8"/>
      <c r="O124" s="8"/>
      <c r="P124" s="8"/>
      <c r="Q124" s="8"/>
      <c r="R124" s="8"/>
      <c r="S124" s="8"/>
      <c r="T124" s="8"/>
      <c r="U124" s="8"/>
      <c r="V124" s="8"/>
      <c r="W124" s="8"/>
      <c r="X124" s="8"/>
      <c r="Y124" s="8"/>
      <c r="Z124" s="8"/>
      <c r="AA124" s="8"/>
    </row>
    <row r="125" spans="1:30" ht="7.5" customHeight="1" x14ac:dyDescent="0.2">
      <c r="V125" s="31"/>
      <c r="W125" s="31"/>
      <c r="X125" s="31"/>
      <c r="Y125" s="31"/>
      <c r="Z125" s="31"/>
      <c r="AA125" s="31"/>
      <c r="AB125" s="31"/>
      <c r="AC125" s="31"/>
      <c r="AD125" s="31"/>
    </row>
    <row r="126" spans="1:30" s="257" customFormat="1" ht="14.25" hidden="1" customHeight="1" x14ac:dyDescent="0.2">
      <c r="A126" s="253"/>
      <c r="D126" s="258" t="s">
        <v>421</v>
      </c>
      <c r="J126" s="259"/>
      <c r="K126" s="259"/>
      <c r="L126" s="259"/>
      <c r="M126" s="259"/>
      <c r="P126" s="260"/>
      <c r="Q126" s="261"/>
      <c r="R126" s="262"/>
      <c r="S126" s="262"/>
      <c r="T126" s="262"/>
      <c r="U126" s="262"/>
      <c r="V126" s="262"/>
      <c r="W126" s="262"/>
    </row>
    <row r="127" spans="1:30" s="257" customFormat="1" ht="20.100000000000001" hidden="1" customHeight="1" x14ac:dyDescent="0.2">
      <c r="A127" s="253"/>
      <c r="D127" s="258"/>
      <c r="J127" s="259"/>
      <c r="K127" s="259"/>
      <c r="L127" s="259"/>
      <c r="M127" s="259"/>
      <c r="P127" s="260"/>
      <c r="Q127" s="261"/>
      <c r="R127" s="262"/>
      <c r="S127" s="262"/>
      <c r="T127" s="262"/>
      <c r="U127" s="262"/>
      <c r="V127" s="262"/>
      <c r="W127" s="262"/>
    </row>
    <row r="128" spans="1:30" s="263" customFormat="1" ht="20.100000000000001" hidden="1" customHeight="1" x14ac:dyDescent="0.2">
      <c r="C128" s="258"/>
      <c r="D128" s="263" t="s">
        <v>519</v>
      </c>
      <c r="H128" s="263" t="s">
        <v>120</v>
      </c>
      <c r="I128" s="397" t="s">
        <v>121</v>
      </c>
      <c r="J128" s="398"/>
      <c r="K128" s="405" t="s">
        <v>520</v>
      </c>
      <c r="L128" s="405"/>
      <c r="M128" s="405"/>
    </row>
    <row r="129" spans="1:30" s="253" customFormat="1" ht="7.5" hidden="1" customHeight="1" x14ac:dyDescent="0.2">
      <c r="A129" s="257"/>
      <c r="C129" s="256"/>
    </row>
    <row r="130" spans="1:30" s="253" customFormat="1" ht="15.75" hidden="1" customHeight="1" x14ac:dyDescent="0.2">
      <c r="C130" s="256"/>
      <c r="D130" s="374" t="s">
        <v>354</v>
      </c>
      <c r="E130" s="374" t="s">
        <v>141</v>
      </c>
      <c r="F130" s="396" t="s">
        <v>467</v>
      </c>
      <c r="G130" s="396"/>
      <c r="H130" s="396"/>
      <c r="I130" s="396"/>
      <c r="J130" s="396"/>
      <c r="K130" s="396"/>
      <c r="L130" s="396"/>
      <c r="M130" s="396"/>
      <c r="N130" s="396"/>
      <c r="O130" s="396"/>
      <c r="P130" s="396"/>
      <c r="Q130" s="396"/>
      <c r="R130" s="396"/>
      <c r="S130" s="396"/>
      <c r="T130" s="396"/>
      <c r="U130" s="396"/>
      <c r="V130" s="396"/>
      <c r="W130" s="396"/>
      <c r="X130" s="396"/>
      <c r="Y130" s="396"/>
      <c r="Z130" s="396"/>
      <c r="AA130" s="396"/>
      <c r="AB130" s="396"/>
      <c r="AC130" s="396"/>
      <c r="AD130" s="255"/>
    </row>
    <row r="131" spans="1:30" s="253" customFormat="1" ht="15.75" hidden="1" customHeight="1" x14ac:dyDescent="0.2">
      <c r="C131" s="256"/>
      <c r="F131" s="396" t="s">
        <v>200</v>
      </c>
      <c r="G131" s="396"/>
      <c r="H131" s="396"/>
      <c r="I131" s="396"/>
      <c r="J131" s="396"/>
      <c r="K131" s="396"/>
      <c r="L131" s="396"/>
      <c r="M131" s="396"/>
      <c r="N131" s="396"/>
      <c r="O131" s="396"/>
      <c r="P131" s="396"/>
      <c r="Q131" s="396"/>
      <c r="R131" s="396"/>
      <c r="S131" s="396"/>
      <c r="T131" s="396"/>
      <c r="U131" s="396"/>
      <c r="V131" s="396"/>
      <c r="W131" s="396"/>
      <c r="X131" s="396"/>
      <c r="Y131" s="396"/>
      <c r="Z131" s="396"/>
      <c r="AA131" s="396"/>
      <c r="AB131" s="396"/>
      <c r="AC131" s="396"/>
      <c r="AD131" s="255"/>
    </row>
    <row r="132" spans="1:30" s="253" customFormat="1" ht="5.0999999999999996" hidden="1" customHeight="1" x14ac:dyDescent="0.2">
      <c r="C132" s="256"/>
    </row>
    <row r="133" spans="1:30" s="253" customFormat="1" ht="15.75" hidden="1" customHeight="1" x14ac:dyDescent="0.2">
      <c r="D133" s="264"/>
      <c r="E133" s="264"/>
      <c r="F133" s="396" t="s">
        <v>576</v>
      </c>
      <c r="G133" s="396"/>
      <c r="H133" s="396"/>
      <c r="I133" s="396"/>
      <c r="J133" s="396"/>
      <c r="K133" s="396"/>
      <c r="L133" s="396"/>
      <c r="M133" s="396"/>
      <c r="N133" s="396"/>
      <c r="O133" s="396"/>
      <c r="P133" s="396"/>
      <c r="Q133" s="396"/>
      <c r="R133" s="396"/>
      <c r="S133" s="396"/>
      <c r="T133" s="396"/>
      <c r="U133" s="396"/>
      <c r="V133" s="396"/>
      <c r="W133" s="396"/>
      <c r="X133" s="396"/>
      <c r="Y133" s="396"/>
      <c r="Z133" s="396"/>
      <c r="AA133" s="396"/>
      <c r="AB133" s="396"/>
      <c r="AC133" s="396"/>
      <c r="AD133" s="255"/>
    </row>
    <row r="134" spans="1:30" s="253" customFormat="1" ht="45" hidden="1" customHeight="1" x14ac:dyDescent="0.2">
      <c r="D134" s="264"/>
      <c r="E134" s="264"/>
      <c r="F134" s="394" t="s">
        <v>201</v>
      </c>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265"/>
    </row>
    <row r="135" spans="1:30" s="253" customFormat="1" ht="15.75" hidden="1" customHeight="1" x14ac:dyDescent="0.2">
      <c r="D135" s="264"/>
      <c r="E135" s="264"/>
      <c r="F135" s="394" t="s">
        <v>304</v>
      </c>
      <c r="G135" s="394"/>
      <c r="H135" s="394"/>
      <c r="I135" s="394"/>
      <c r="J135" s="394"/>
      <c r="K135" s="394"/>
      <c r="L135" s="394"/>
      <c r="M135" s="394"/>
      <c r="N135" s="394"/>
      <c r="O135" s="394"/>
      <c r="P135" s="394"/>
      <c r="Q135" s="394"/>
      <c r="R135" s="394"/>
      <c r="S135" s="394"/>
      <c r="T135" s="394"/>
      <c r="U135" s="394"/>
      <c r="V135" s="394"/>
      <c r="W135" s="394"/>
      <c r="X135" s="394"/>
      <c r="Y135" s="394"/>
      <c r="Z135" s="394"/>
      <c r="AA135" s="394"/>
      <c r="AB135" s="394"/>
      <c r="AC135" s="394"/>
      <c r="AD135" s="394"/>
    </row>
    <row r="136" spans="1:30" s="253" customFormat="1" ht="15.75" hidden="1" customHeight="1" x14ac:dyDescent="0.2">
      <c r="D136" s="254"/>
      <c r="E136" s="254"/>
    </row>
    <row r="137" spans="1:30" s="253" customFormat="1" ht="20.100000000000001" hidden="1" customHeight="1" x14ac:dyDescent="0.2">
      <c r="C137" s="256"/>
      <c r="F137" s="377" t="s">
        <v>1</v>
      </c>
      <c r="G137" s="378"/>
      <c r="H137" s="378"/>
      <c r="I137" s="379"/>
      <c r="K137" s="399" t="s">
        <v>202</v>
      </c>
      <c r="L137" s="400"/>
      <c r="M137" s="400"/>
      <c r="N137" s="400"/>
      <c r="O137" s="400"/>
      <c r="P137" s="401"/>
      <c r="R137" s="415" t="s">
        <v>203</v>
      </c>
      <c r="S137" s="416"/>
      <c r="T137" s="417"/>
      <c r="V137" s="375">
        <v>15</v>
      </c>
      <c r="W137" s="376"/>
      <c r="X137" s="392" t="s">
        <v>204</v>
      </c>
      <c r="Y137" s="392"/>
      <c r="Z137" s="392"/>
      <c r="AA137" s="392"/>
      <c r="AB137" s="392"/>
      <c r="AC137" s="392"/>
      <c r="AD137" s="393"/>
    </row>
    <row r="138" spans="1:30" s="253" customFormat="1" ht="20.100000000000001" hidden="1" customHeight="1" x14ac:dyDescent="0.2">
      <c r="C138" s="256"/>
      <c r="F138" s="380"/>
      <c r="G138" s="381"/>
      <c r="H138" s="381"/>
      <c r="I138" s="382"/>
      <c r="K138" s="399" t="s">
        <v>582</v>
      </c>
      <c r="L138" s="400"/>
      <c r="M138" s="400"/>
      <c r="N138" s="400"/>
      <c r="O138" s="400"/>
      <c r="P138" s="401"/>
      <c r="R138" s="418"/>
      <c r="S138" s="419"/>
      <c r="T138" s="420"/>
      <c r="V138" s="375">
        <v>20</v>
      </c>
      <c r="W138" s="376"/>
      <c r="X138" s="392" t="s">
        <v>474</v>
      </c>
      <c r="Y138" s="392"/>
      <c r="Z138" s="392"/>
      <c r="AA138" s="392"/>
      <c r="AB138" s="392"/>
      <c r="AC138" s="392"/>
      <c r="AD138" s="393"/>
    </row>
    <row r="139" spans="1:30" s="253" customFormat="1" ht="20.100000000000001" hidden="1" customHeight="1" x14ac:dyDescent="0.2">
      <c r="C139" s="256"/>
      <c r="F139" s="383" t="s">
        <v>2</v>
      </c>
      <c r="G139" s="384"/>
      <c r="H139" s="384"/>
      <c r="I139" s="385"/>
      <c r="K139" s="387" t="s">
        <v>202</v>
      </c>
      <c r="L139" s="388"/>
      <c r="M139" s="388"/>
      <c r="N139" s="388"/>
      <c r="O139" s="388"/>
      <c r="P139" s="389"/>
      <c r="R139" s="418"/>
      <c r="S139" s="419"/>
      <c r="T139" s="420"/>
      <c r="V139" s="375">
        <v>15</v>
      </c>
      <c r="W139" s="376"/>
      <c r="X139" s="392" t="s">
        <v>205</v>
      </c>
      <c r="Y139" s="392"/>
      <c r="Z139" s="392"/>
      <c r="AA139" s="392"/>
      <c r="AB139" s="392"/>
      <c r="AC139" s="392"/>
      <c r="AD139" s="393"/>
    </row>
    <row r="140" spans="1:30" s="253" customFormat="1" ht="20.100000000000001" hidden="1" customHeight="1" x14ac:dyDescent="0.2">
      <c r="C140" s="256"/>
      <c r="F140" s="395" t="s">
        <v>206</v>
      </c>
      <c r="G140" s="395"/>
      <c r="H140" s="395"/>
      <c r="I140" s="395"/>
      <c r="K140" s="387" t="s">
        <v>202</v>
      </c>
      <c r="L140" s="388"/>
      <c r="M140" s="388"/>
      <c r="N140" s="388"/>
      <c r="O140" s="388"/>
      <c r="P140" s="389"/>
      <c r="R140" s="418"/>
      <c r="S140" s="419"/>
      <c r="T140" s="420"/>
      <c r="V140" s="375">
        <v>15</v>
      </c>
      <c r="W140" s="376"/>
      <c r="X140" s="392" t="s">
        <v>207</v>
      </c>
      <c r="Y140" s="392"/>
      <c r="Z140" s="392"/>
      <c r="AA140" s="392"/>
      <c r="AB140" s="392"/>
      <c r="AC140" s="392"/>
      <c r="AD140" s="393"/>
    </row>
    <row r="141" spans="1:30" s="253" customFormat="1" ht="20.100000000000001" hidden="1" customHeight="1" x14ac:dyDescent="0.2">
      <c r="C141" s="256"/>
      <c r="F141" s="383" t="s">
        <v>3</v>
      </c>
      <c r="G141" s="384"/>
      <c r="H141" s="384"/>
      <c r="I141" s="385"/>
      <c r="K141" s="387" t="s">
        <v>462</v>
      </c>
      <c r="L141" s="388"/>
      <c r="M141" s="388"/>
      <c r="N141" s="388"/>
      <c r="O141" s="388"/>
      <c r="P141" s="389"/>
      <c r="R141" s="418"/>
      <c r="S141" s="419"/>
      <c r="T141" s="420"/>
      <c r="V141" s="375">
        <v>40</v>
      </c>
      <c r="W141" s="376"/>
      <c r="X141" s="388" t="s">
        <v>464</v>
      </c>
      <c r="Y141" s="388"/>
      <c r="Z141" s="388"/>
      <c r="AA141" s="388"/>
      <c r="AB141" s="388"/>
      <c r="AC141" s="388"/>
      <c r="AD141" s="389"/>
    </row>
    <row r="142" spans="1:30" s="253" customFormat="1" ht="20.100000000000001" hidden="1" customHeight="1" x14ac:dyDescent="0.2">
      <c r="C142" s="256"/>
      <c r="F142" s="377" t="s">
        <v>101</v>
      </c>
      <c r="G142" s="378"/>
      <c r="H142" s="378"/>
      <c r="I142" s="379"/>
      <c r="K142" s="387" t="s">
        <v>208</v>
      </c>
      <c r="L142" s="388"/>
      <c r="M142" s="388"/>
      <c r="N142" s="388"/>
      <c r="O142" s="388"/>
      <c r="P142" s="389"/>
      <c r="R142" s="418"/>
      <c r="S142" s="419"/>
      <c r="T142" s="420"/>
      <c r="V142" s="375">
        <v>60</v>
      </c>
      <c r="W142" s="376"/>
      <c r="X142" s="392" t="s">
        <v>463</v>
      </c>
      <c r="Y142" s="392"/>
      <c r="Z142" s="392"/>
      <c r="AA142" s="392"/>
      <c r="AB142" s="392"/>
      <c r="AC142" s="392"/>
      <c r="AD142" s="393"/>
    </row>
    <row r="143" spans="1:30" s="253" customFormat="1" ht="20.100000000000001" hidden="1" customHeight="1" x14ac:dyDescent="0.2">
      <c r="C143" s="256"/>
      <c r="F143" s="380"/>
      <c r="G143" s="381"/>
      <c r="H143" s="381"/>
      <c r="I143" s="382"/>
      <c r="K143" s="387" t="s">
        <v>209</v>
      </c>
      <c r="L143" s="388"/>
      <c r="M143" s="388"/>
      <c r="N143" s="388"/>
      <c r="O143" s="388"/>
      <c r="P143" s="389"/>
      <c r="R143" s="421"/>
      <c r="S143" s="422"/>
      <c r="T143" s="423"/>
      <c r="V143" s="375">
        <v>20</v>
      </c>
      <c r="W143" s="376"/>
      <c r="X143" s="392" t="s">
        <v>210</v>
      </c>
      <c r="Y143" s="392"/>
      <c r="Z143" s="392"/>
      <c r="AA143" s="392"/>
      <c r="AB143" s="392"/>
      <c r="AC143" s="392"/>
      <c r="AD143" s="393"/>
    </row>
    <row r="144" spans="1:30" s="253" customFormat="1" ht="15.75" hidden="1" customHeight="1" x14ac:dyDescent="0.2">
      <c r="C144" s="256"/>
      <c r="V144" s="414" t="s">
        <v>133</v>
      </c>
      <c r="W144" s="414"/>
      <c r="X144" s="414"/>
      <c r="Y144" s="414"/>
      <c r="Z144" s="414"/>
      <c r="AA144" s="414"/>
      <c r="AB144" s="414"/>
      <c r="AC144" s="414"/>
      <c r="AD144" s="414"/>
    </row>
    <row r="145" spans="3:31" s="253" customFormat="1" ht="27.75" hidden="1" customHeight="1" x14ac:dyDescent="0.2">
      <c r="C145" s="256"/>
      <c r="V145" s="414"/>
      <c r="W145" s="414"/>
      <c r="X145" s="414"/>
      <c r="Y145" s="414"/>
      <c r="Z145" s="414"/>
      <c r="AA145" s="414"/>
      <c r="AB145" s="414"/>
      <c r="AC145" s="414"/>
      <c r="AD145" s="414"/>
    </row>
    <row r="146" spans="3:31" ht="15.75" customHeight="1" x14ac:dyDescent="0.2">
      <c r="C146" s="3"/>
      <c r="D146" s="11"/>
      <c r="E146" s="11"/>
      <c r="F146" s="3" t="s">
        <v>515</v>
      </c>
    </row>
    <row r="147" spans="3:31" ht="15.75" customHeight="1" x14ac:dyDescent="0.2">
      <c r="C147" s="3"/>
      <c r="D147" s="11"/>
      <c r="E147" s="11"/>
      <c r="F147" s="9" t="s">
        <v>117</v>
      </c>
      <c r="G147" s="367" t="s">
        <v>516</v>
      </c>
      <c r="H147" s="367"/>
      <c r="I147" s="367"/>
      <c r="J147" s="367"/>
      <c r="K147" s="367"/>
      <c r="L147" s="367"/>
      <c r="M147" s="367"/>
    </row>
    <row r="148" spans="3:31" ht="15.75" customHeight="1" x14ac:dyDescent="0.2">
      <c r="C148" s="3"/>
      <c r="D148" s="11"/>
      <c r="E148" s="11"/>
      <c r="F148" s="9" t="s">
        <v>117</v>
      </c>
      <c r="G148" s="367" t="s">
        <v>211</v>
      </c>
      <c r="H148" s="367"/>
      <c r="I148" s="367"/>
      <c r="J148" s="367"/>
      <c r="K148" s="367"/>
      <c r="L148" s="367"/>
      <c r="M148" s="367"/>
      <c r="N148" s="367"/>
      <c r="O148" s="367"/>
      <c r="P148" s="367"/>
      <c r="Q148" s="367"/>
      <c r="R148" s="367"/>
      <c r="S148" s="367"/>
      <c r="T148" s="367"/>
      <c r="U148" s="367"/>
      <c r="V148" s="367"/>
      <c r="W148" s="367"/>
      <c r="X148" s="367"/>
      <c r="Y148" s="367"/>
      <c r="Z148" s="367"/>
      <c r="AA148" s="367"/>
    </row>
    <row r="149" spans="3:31" ht="15.75" customHeight="1" x14ac:dyDescent="0.2">
      <c r="C149" s="3"/>
      <c r="D149" s="11"/>
      <c r="E149" s="11"/>
      <c r="F149" s="9" t="s">
        <v>117</v>
      </c>
      <c r="G149" s="367" t="s">
        <v>212</v>
      </c>
      <c r="H149" s="367"/>
      <c r="I149" s="367"/>
      <c r="J149" s="367"/>
      <c r="K149" s="367"/>
      <c r="L149" s="367"/>
      <c r="M149" s="367"/>
      <c r="N149" s="367"/>
      <c r="O149" s="367"/>
      <c r="P149" s="367"/>
      <c r="Q149" s="367"/>
      <c r="R149" s="367"/>
      <c r="S149" s="367"/>
      <c r="T149" s="367"/>
      <c r="U149" s="367"/>
      <c r="V149" s="367"/>
      <c r="W149" s="367"/>
      <c r="X149" s="367"/>
      <c r="Y149" s="367"/>
      <c r="Z149" s="367"/>
      <c r="AA149" s="367"/>
    </row>
    <row r="150" spans="3:31" x14ac:dyDescent="0.2">
      <c r="V150" s="31"/>
      <c r="W150" s="31"/>
      <c r="X150" s="31"/>
      <c r="Y150" s="31"/>
      <c r="Z150" s="31"/>
      <c r="AA150" s="31"/>
      <c r="AB150" s="31"/>
      <c r="AC150" s="31"/>
      <c r="AD150" s="31"/>
    </row>
    <row r="151" spans="3:31" ht="15.75" customHeight="1" x14ac:dyDescent="0.2">
      <c r="C151" s="3"/>
      <c r="D151" s="11"/>
      <c r="E151" s="11"/>
      <c r="F151" s="367" t="s">
        <v>213</v>
      </c>
      <c r="G151" s="367"/>
      <c r="H151" s="367"/>
      <c r="I151" s="367"/>
      <c r="J151" s="367"/>
      <c r="K151" s="367"/>
      <c r="L151" s="367"/>
      <c r="M151" s="367"/>
      <c r="N151" s="367"/>
      <c r="O151" s="367"/>
      <c r="P151" s="367"/>
      <c r="Q151" s="367"/>
      <c r="R151" s="367"/>
      <c r="S151" s="367"/>
      <c r="T151" s="367"/>
      <c r="U151" s="367"/>
      <c r="V151" s="367"/>
      <c r="W151" s="367"/>
      <c r="X151" s="367"/>
    </row>
    <row r="152" spans="3:31" ht="15.75" customHeight="1" x14ac:dyDescent="0.2">
      <c r="C152" s="3"/>
      <c r="D152" s="11"/>
      <c r="E152" s="11"/>
      <c r="F152" s="9" t="s">
        <v>117</v>
      </c>
      <c r="G152" s="367" t="s">
        <v>422</v>
      </c>
      <c r="H152" s="367"/>
      <c r="I152" s="367"/>
      <c r="J152" s="367"/>
      <c r="K152" s="367"/>
      <c r="L152" s="367"/>
      <c r="M152" s="367"/>
      <c r="N152" s="367"/>
      <c r="O152" s="367"/>
      <c r="P152" s="367"/>
      <c r="Q152" s="367"/>
      <c r="R152" s="367"/>
      <c r="S152" s="367"/>
      <c r="T152" s="367"/>
      <c r="U152" s="367"/>
      <c r="V152" s="367"/>
      <c r="W152" s="367"/>
      <c r="X152" s="367"/>
      <c r="Y152" s="367"/>
      <c r="Z152" s="367"/>
      <c r="AA152" s="367"/>
    </row>
    <row r="153" spans="3:31" ht="15.75" customHeight="1" x14ac:dyDescent="0.2">
      <c r="C153" s="3"/>
      <c r="D153" s="11"/>
      <c r="E153" s="11"/>
      <c r="F153" s="9" t="s">
        <v>117</v>
      </c>
      <c r="G153" s="367" t="s">
        <v>214</v>
      </c>
      <c r="H153" s="367"/>
      <c r="I153" s="367"/>
      <c r="J153" s="367"/>
      <c r="K153" s="367"/>
      <c r="L153" s="367"/>
      <c r="M153" s="367"/>
      <c r="N153" s="367"/>
      <c r="O153" s="367"/>
      <c r="P153" s="367"/>
      <c r="Q153" s="367"/>
      <c r="R153" s="367"/>
      <c r="S153" s="367"/>
      <c r="T153" s="367"/>
      <c r="U153" s="367"/>
      <c r="V153" s="367"/>
      <c r="W153" s="367"/>
      <c r="X153" s="367"/>
      <c r="Y153" s="367"/>
      <c r="Z153" s="367"/>
      <c r="AA153" s="367"/>
    </row>
    <row r="154" spans="3:31" ht="15.75" customHeight="1" x14ac:dyDescent="0.2">
      <c r="C154" s="3"/>
      <c r="D154" s="11"/>
      <c r="E154" s="11"/>
      <c r="F154" s="9" t="s">
        <v>117</v>
      </c>
      <c r="G154" s="367" t="s">
        <v>215</v>
      </c>
      <c r="H154" s="367"/>
      <c r="I154" s="367"/>
      <c r="J154" s="367"/>
      <c r="K154" s="367"/>
      <c r="L154" s="367"/>
      <c r="M154" s="367"/>
      <c r="N154" s="367"/>
      <c r="O154" s="367"/>
      <c r="P154" s="367"/>
      <c r="Q154" s="367"/>
      <c r="R154" s="367"/>
      <c r="S154" s="367"/>
      <c r="T154" s="367"/>
      <c r="U154" s="367"/>
      <c r="V154" s="367"/>
      <c r="W154" s="367"/>
      <c r="X154" s="367"/>
      <c r="Y154" s="367"/>
      <c r="Z154" s="367"/>
      <c r="AA154" s="367"/>
    </row>
    <row r="155" spans="3:31" ht="15.75" customHeight="1" x14ac:dyDescent="0.2">
      <c r="C155" s="3"/>
      <c r="D155" s="11"/>
      <c r="E155" s="11"/>
      <c r="F155" s="9" t="s">
        <v>117</v>
      </c>
      <c r="G155" s="367" t="s">
        <v>216</v>
      </c>
      <c r="H155" s="367"/>
      <c r="I155" s="367"/>
      <c r="J155" s="367"/>
      <c r="K155" s="367"/>
      <c r="L155" s="367"/>
      <c r="M155" s="367"/>
      <c r="N155" s="367"/>
      <c r="O155" s="367"/>
      <c r="P155" s="367"/>
      <c r="Q155" s="367"/>
      <c r="R155" s="367"/>
      <c r="S155" s="367"/>
      <c r="T155" s="367"/>
      <c r="U155" s="367"/>
      <c r="V155" s="367"/>
      <c r="W155" s="367"/>
      <c r="X155" s="367"/>
      <c r="Y155" s="367"/>
      <c r="Z155" s="367"/>
      <c r="AA155" s="367"/>
    </row>
    <row r="156" spans="3:31" x14ac:dyDescent="0.2">
      <c r="V156" s="31"/>
      <c r="W156" s="31"/>
      <c r="X156" s="31"/>
      <c r="Y156" s="31"/>
      <c r="Z156" s="31"/>
      <c r="AA156" s="31"/>
      <c r="AB156" s="31"/>
      <c r="AC156" s="31"/>
      <c r="AD156" s="31"/>
    </row>
    <row r="157" spans="3:31" x14ac:dyDescent="0.2">
      <c r="F157" s="3" t="s">
        <v>768</v>
      </c>
      <c r="V157" s="31"/>
      <c r="W157" s="31"/>
      <c r="X157" s="31"/>
      <c r="Y157" s="31"/>
      <c r="Z157" s="31"/>
      <c r="AA157" s="31"/>
      <c r="AB157" s="31"/>
      <c r="AC157" s="31"/>
      <c r="AD157" s="31"/>
    </row>
    <row r="158" spans="3:31" x14ac:dyDescent="0.2">
      <c r="F158" s="367" t="s">
        <v>769</v>
      </c>
      <c r="G158" s="367"/>
      <c r="H158" s="367"/>
      <c r="I158" s="367"/>
      <c r="J158" s="367"/>
      <c r="K158" s="367"/>
      <c r="L158" s="367"/>
      <c r="M158" s="367"/>
      <c r="N158" s="367"/>
      <c r="O158" s="367"/>
      <c r="P158" s="367"/>
      <c r="Q158" s="367"/>
      <c r="R158" s="367"/>
      <c r="S158" s="367"/>
      <c r="T158" s="367"/>
      <c r="U158" s="367"/>
      <c r="V158" s="367"/>
      <c r="W158" s="367"/>
      <c r="X158" s="367"/>
      <c r="Y158" s="367"/>
      <c r="Z158" s="367"/>
      <c r="AA158" s="367"/>
      <c r="AB158" s="367"/>
      <c r="AC158" s="31"/>
      <c r="AD158" s="31"/>
    </row>
    <row r="159" spans="3:31" x14ac:dyDescent="0.2">
      <c r="F159" s="367" t="s">
        <v>608</v>
      </c>
      <c r="G159" s="367"/>
      <c r="H159" s="367"/>
      <c r="I159" s="367"/>
      <c r="J159" s="367"/>
      <c r="K159" s="367"/>
      <c r="L159" s="367"/>
      <c r="M159" s="367"/>
      <c r="N159" s="367"/>
      <c r="O159" s="367"/>
      <c r="P159" s="367"/>
      <c r="Q159" s="367"/>
      <c r="R159" s="367"/>
      <c r="S159" s="367"/>
      <c r="T159" s="367"/>
      <c r="U159" s="367"/>
      <c r="V159" s="367"/>
      <c r="W159" s="367"/>
      <c r="X159" s="367"/>
      <c r="Y159" s="367"/>
      <c r="Z159" s="367"/>
      <c r="AA159" s="367"/>
      <c r="AB159" s="367"/>
      <c r="AC159" s="367"/>
      <c r="AD159" s="367"/>
      <c r="AE159" s="367"/>
    </row>
    <row r="160" spans="3:31" ht="15" customHeight="1" x14ac:dyDescent="0.2">
      <c r="F160" s="8"/>
      <c r="G160" s="8"/>
      <c r="H160" s="8"/>
      <c r="I160" s="8"/>
      <c r="J160" s="8"/>
      <c r="K160" s="8"/>
      <c r="L160" s="8"/>
      <c r="M160" s="8"/>
      <c r="N160" s="8"/>
      <c r="O160" s="8"/>
      <c r="P160" s="8"/>
      <c r="Q160" s="8"/>
      <c r="R160" s="8"/>
      <c r="S160" s="8"/>
      <c r="T160" s="8"/>
      <c r="U160" s="8"/>
      <c r="V160" s="8"/>
      <c r="W160" s="8"/>
      <c r="X160" s="8"/>
      <c r="Y160" s="8"/>
      <c r="Z160" s="8"/>
      <c r="AA160" s="8"/>
      <c r="AB160" s="8"/>
      <c r="AC160" s="31"/>
      <c r="AD160" s="31"/>
    </row>
    <row r="161" spans="3:30" ht="30" customHeight="1" x14ac:dyDescent="0.2">
      <c r="C161" s="3"/>
      <c r="D161" s="11"/>
      <c r="E161" s="11"/>
      <c r="F161" s="366" t="s">
        <v>517</v>
      </c>
      <c r="G161" s="366"/>
      <c r="H161" s="366"/>
      <c r="I161" s="366"/>
      <c r="J161" s="366"/>
      <c r="K161" s="366"/>
      <c r="L161" s="366"/>
      <c r="M161" s="366"/>
      <c r="N161" s="366"/>
      <c r="O161" s="366"/>
      <c r="P161" s="366"/>
      <c r="Q161" s="366"/>
      <c r="R161" s="366"/>
      <c r="S161" s="366"/>
      <c r="T161" s="366"/>
      <c r="U161" s="366"/>
      <c r="V161" s="366"/>
      <c r="W161" s="366"/>
      <c r="X161" s="366"/>
      <c r="Y161" s="366"/>
      <c r="Z161" s="366"/>
      <c r="AA161" s="366"/>
      <c r="AB161" s="366"/>
      <c r="AC161" s="366"/>
      <c r="AD161" s="366"/>
    </row>
    <row r="162" spans="3:30" ht="30" customHeight="1" x14ac:dyDescent="0.2">
      <c r="C162" s="3"/>
      <c r="D162" s="11"/>
      <c r="E162" s="11"/>
      <c r="F162" s="366" t="s">
        <v>217</v>
      </c>
      <c r="G162" s="366"/>
      <c r="H162" s="366"/>
      <c r="I162" s="366"/>
      <c r="J162" s="366"/>
      <c r="K162" s="366"/>
      <c r="L162" s="366"/>
      <c r="M162" s="366"/>
      <c r="N162" s="366"/>
      <c r="O162" s="366"/>
      <c r="P162" s="366"/>
      <c r="Q162" s="366"/>
      <c r="R162" s="366"/>
      <c r="S162" s="366"/>
      <c r="T162" s="366"/>
      <c r="U162" s="366"/>
      <c r="V162" s="366"/>
      <c r="W162" s="366"/>
      <c r="X162" s="366"/>
      <c r="Y162" s="366"/>
      <c r="Z162" s="366"/>
      <c r="AA162" s="366"/>
      <c r="AB162" s="366"/>
      <c r="AC162" s="366"/>
      <c r="AD162" s="366"/>
    </row>
    <row r="163" spans="3:30" ht="30" customHeight="1" x14ac:dyDescent="0.2">
      <c r="C163" s="3"/>
      <c r="D163" s="11"/>
      <c r="E163" s="11"/>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row>
    <row r="164" spans="3:30" ht="21" x14ac:dyDescent="0.2">
      <c r="C164" s="10" t="s">
        <v>770</v>
      </c>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row>
    <row r="165" spans="3:30" ht="15" customHeight="1" x14ac:dyDescent="0.2"/>
    <row r="166" spans="3:30" s="16" customFormat="1" ht="20.100000000000001" customHeight="1" x14ac:dyDescent="0.2">
      <c r="C166" s="17"/>
      <c r="D166" s="16" t="s">
        <v>680</v>
      </c>
      <c r="H166" s="16" t="s">
        <v>120</v>
      </c>
      <c r="I166" s="372" t="s">
        <v>121</v>
      </c>
      <c r="J166" s="373"/>
      <c r="K166" s="365" t="s">
        <v>681</v>
      </c>
      <c r="L166" s="365"/>
      <c r="M166" s="365"/>
    </row>
    <row r="167" spans="3:30" ht="5.0999999999999996" customHeight="1" x14ac:dyDescent="0.2"/>
    <row r="168" spans="3:30" ht="15.75" customHeight="1" x14ac:dyDescent="0.2">
      <c r="D168" s="366" t="s">
        <v>139</v>
      </c>
      <c r="E168" s="366"/>
      <c r="F168" s="366"/>
      <c r="G168" s="366"/>
      <c r="H168" s="366"/>
      <c r="I168" s="7"/>
      <c r="J168" s="7"/>
      <c r="K168" s="7"/>
      <c r="L168" s="7"/>
      <c r="M168" s="7"/>
      <c r="N168" s="7"/>
      <c r="O168" s="7"/>
      <c r="P168" s="7"/>
      <c r="Q168" s="7"/>
      <c r="R168" s="7"/>
      <c r="S168" s="7"/>
      <c r="T168" s="7"/>
      <c r="U168" s="7"/>
      <c r="V168" s="7"/>
      <c r="W168" s="7"/>
      <c r="X168" s="7"/>
      <c r="Y168" s="7"/>
      <c r="Z168" s="7"/>
      <c r="AA168" s="7"/>
      <c r="AB168" s="7"/>
      <c r="AC168" s="7"/>
      <c r="AD168" s="7"/>
    </row>
    <row r="169" spans="3:30" ht="15.75" customHeight="1" x14ac:dyDescent="0.2">
      <c r="C169" s="3"/>
      <c r="D169" s="11"/>
      <c r="E169" s="366" t="s">
        <v>682</v>
      </c>
      <c r="F169" s="366"/>
      <c r="G169" s="366"/>
      <c r="H169" s="366"/>
      <c r="I169" s="366"/>
      <c r="J169" s="366"/>
      <c r="K169" s="366"/>
      <c r="L169" s="366"/>
      <c r="M169" s="366"/>
      <c r="N169" s="366"/>
      <c r="O169" s="366"/>
      <c r="P169" s="366"/>
      <c r="Q169" s="366"/>
      <c r="R169" s="366"/>
      <c r="S169" s="366"/>
      <c r="T169" s="366"/>
      <c r="U169" s="366"/>
      <c r="V169" s="366"/>
      <c r="W169" s="366"/>
      <c r="X169" s="366"/>
      <c r="Y169" s="366"/>
      <c r="Z169" s="366"/>
      <c r="AA169" s="366"/>
      <c r="AB169" s="366"/>
      <c r="AC169" s="7"/>
      <c r="AD169" s="7"/>
    </row>
    <row r="170" spans="3:30" ht="5.0999999999999996" customHeight="1" x14ac:dyDescent="0.2"/>
    <row r="171" spans="3:30" x14ac:dyDescent="0.2">
      <c r="D171" s="366" t="s">
        <v>123</v>
      </c>
      <c r="E171" s="366"/>
      <c r="F171" s="366"/>
      <c r="G171" s="366"/>
      <c r="H171" s="366"/>
    </row>
    <row r="172" spans="3:30" ht="5.0999999999999996" customHeight="1" x14ac:dyDescent="0.2"/>
    <row r="173" spans="3:30" ht="34.5" customHeight="1" x14ac:dyDescent="0.2">
      <c r="E173" s="366" t="s">
        <v>683</v>
      </c>
      <c r="F173" s="366"/>
      <c r="G173" s="366"/>
      <c r="H173" s="366"/>
      <c r="I173" s="366"/>
      <c r="J173" s="366"/>
      <c r="K173" s="366"/>
      <c r="L173" s="366"/>
      <c r="M173" s="366"/>
      <c r="N173" s="366"/>
      <c r="O173" s="366"/>
      <c r="P173" s="366"/>
      <c r="Q173" s="366"/>
      <c r="R173" s="366"/>
      <c r="S173" s="366"/>
      <c r="T173" s="366"/>
      <c r="U173" s="366"/>
      <c r="V173" s="366"/>
      <c r="W173" s="366"/>
      <c r="X173" s="366"/>
      <c r="Y173" s="366"/>
      <c r="Z173" s="366"/>
      <c r="AA173" s="366"/>
      <c r="AB173" s="366"/>
      <c r="AC173" s="7"/>
      <c r="AD173" s="7"/>
    </row>
    <row r="174" spans="3:30" ht="30" customHeight="1" x14ac:dyDescent="0.2">
      <c r="E174" s="366" t="s">
        <v>684</v>
      </c>
      <c r="F174" s="366"/>
      <c r="G174" s="366"/>
      <c r="H174" s="366"/>
      <c r="I174" s="366"/>
      <c r="J174" s="366"/>
      <c r="K174" s="366"/>
      <c r="L174" s="366"/>
      <c r="M174" s="366"/>
      <c r="N174" s="366"/>
      <c r="O174" s="366"/>
      <c r="P174" s="366"/>
      <c r="Q174" s="366"/>
      <c r="R174" s="366"/>
      <c r="S174" s="366"/>
      <c r="T174" s="366"/>
      <c r="U174" s="366"/>
      <c r="V174" s="366"/>
      <c r="W174" s="366"/>
      <c r="X174" s="366"/>
      <c r="Y174" s="366"/>
      <c r="Z174" s="366"/>
      <c r="AA174" s="366"/>
      <c r="AB174" s="366"/>
      <c r="AC174" s="7"/>
      <c r="AD174" s="7"/>
    </row>
    <row r="175" spans="3:30" ht="30" customHeight="1" x14ac:dyDescent="0.2"/>
    <row r="176" spans="3:30" ht="21" x14ac:dyDescent="0.2">
      <c r="C176" s="10" t="s">
        <v>771</v>
      </c>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row>
    <row r="177" spans="3:30" ht="15" customHeight="1" x14ac:dyDescent="0.2"/>
    <row r="178" spans="3:30" s="16" customFormat="1" ht="20.100000000000001" customHeight="1" x14ac:dyDescent="0.2">
      <c r="C178" s="17"/>
      <c r="D178" s="16" t="s">
        <v>479</v>
      </c>
      <c r="H178" s="16" t="s">
        <v>120</v>
      </c>
      <c r="I178" s="372" t="s">
        <v>121</v>
      </c>
      <c r="J178" s="373"/>
      <c r="K178" s="365" t="s">
        <v>521</v>
      </c>
      <c r="L178" s="365"/>
      <c r="M178" s="365"/>
    </row>
    <row r="179" spans="3:30" ht="5.0999999999999996" customHeight="1" x14ac:dyDescent="0.2"/>
    <row r="180" spans="3:30" ht="15.75" customHeight="1" x14ac:dyDescent="0.2">
      <c r="D180" s="366" t="s">
        <v>139</v>
      </c>
      <c r="E180" s="366"/>
      <c r="F180" s="366"/>
      <c r="G180" s="366"/>
      <c r="H180" s="366"/>
      <c r="I180" s="7"/>
      <c r="J180" s="7"/>
      <c r="K180" s="7"/>
      <c r="L180" s="7"/>
      <c r="M180" s="7"/>
      <c r="N180" s="7"/>
      <c r="O180" s="7"/>
      <c r="P180" s="7"/>
      <c r="Q180" s="7"/>
      <c r="R180" s="7"/>
      <c r="S180" s="7"/>
      <c r="T180" s="7"/>
      <c r="U180" s="7"/>
      <c r="V180" s="7"/>
      <c r="W180" s="7"/>
      <c r="X180" s="7"/>
      <c r="Y180" s="7"/>
      <c r="Z180" s="7"/>
      <c r="AA180" s="7"/>
      <c r="AB180" s="7"/>
      <c r="AC180" s="7"/>
      <c r="AD180" s="7"/>
    </row>
    <row r="181" spans="3:30" ht="15.75" customHeight="1" x14ac:dyDescent="0.2">
      <c r="C181" s="3"/>
      <c r="D181" s="11"/>
      <c r="E181" s="366" t="s">
        <v>518</v>
      </c>
      <c r="F181" s="366"/>
      <c r="G181" s="366"/>
      <c r="H181" s="366"/>
      <c r="I181" s="366"/>
      <c r="J181" s="366"/>
      <c r="K181" s="366"/>
      <c r="L181" s="366"/>
      <c r="M181" s="366"/>
      <c r="N181" s="366"/>
      <c r="O181" s="366"/>
      <c r="P181" s="366"/>
      <c r="Q181" s="366"/>
      <c r="R181" s="366"/>
      <c r="S181" s="366"/>
      <c r="T181" s="366"/>
      <c r="U181" s="366"/>
      <c r="V181" s="366"/>
      <c r="W181" s="366"/>
      <c r="X181" s="366"/>
      <c r="Y181" s="366"/>
      <c r="Z181" s="366"/>
      <c r="AA181" s="366"/>
      <c r="AB181" s="366"/>
      <c r="AC181" s="7"/>
      <c r="AD181" s="7"/>
    </row>
    <row r="182" spans="3:30" ht="5.0999999999999996" customHeight="1" x14ac:dyDescent="0.2"/>
    <row r="183" spans="3:30" x14ac:dyDescent="0.2">
      <c r="D183" s="366" t="s">
        <v>123</v>
      </c>
      <c r="E183" s="366"/>
      <c r="F183" s="366"/>
      <c r="G183" s="366"/>
      <c r="H183" s="366"/>
    </row>
    <row r="184" spans="3:30" ht="5.0999999999999996" customHeight="1" x14ac:dyDescent="0.2"/>
    <row r="185" spans="3:30" ht="50.25" customHeight="1" x14ac:dyDescent="0.2">
      <c r="E185" s="366" t="s">
        <v>218</v>
      </c>
      <c r="F185" s="366"/>
      <c r="G185" s="366"/>
      <c r="H185" s="366"/>
      <c r="I185" s="366"/>
      <c r="J185" s="366"/>
      <c r="K185" s="366"/>
      <c r="L185" s="366"/>
      <c r="M185" s="366"/>
      <c r="N185" s="366"/>
      <c r="O185" s="366"/>
      <c r="P185" s="366"/>
      <c r="Q185" s="366"/>
      <c r="R185" s="366"/>
      <c r="S185" s="366"/>
      <c r="T185" s="366"/>
      <c r="U185" s="366"/>
      <c r="V185" s="366"/>
      <c r="W185" s="366"/>
      <c r="X185" s="366"/>
      <c r="Y185" s="366"/>
      <c r="Z185" s="366"/>
      <c r="AA185" s="366"/>
      <c r="AB185" s="366"/>
      <c r="AC185" s="7"/>
      <c r="AD185" s="7"/>
    </row>
    <row r="186" spans="3:30" ht="30" customHeight="1" x14ac:dyDescent="0.2">
      <c r="E186" s="366" t="s">
        <v>583</v>
      </c>
      <c r="F186" s="366"/>
      <c r="G186" s="366"/>
      <c r="H186" s="366"/>
      <c r="I186" s="366"/>
      <c r="J186" s="366"/>
      <c r="K186" s="366"/>
      <c r="L186" s="366"/>
      <c r="M186" s="366"/>
      <c r="N186" s="366"/>
      <c r="O186" s="366"/>
      <c r="P186" s="366"/>
      <c r="Q186" s="366"/>
      <c r="R186" s="366"/>
      <c r="S186" s="366"/>
      <c r="T186" s="366"/>
      <c r="U186" s="366"/>
      <c r="V186" s="366"/>
      <c r="W186" s="366"/>
      <c r="X186" s="366"/>
      <c r="Y186" s="366"/>
      <c r="Z186" s="366"/>
      <c r="AA186" s="366"/>
      <c r="AB186" s="366"/>
      <c r="AC186" s="7"/>
      <c r="AD186" s="7"/>
    </row>
    <row r="187" spans="3:30" ht="45" customHeight="1" x14ac:dyDescent="0.2">
      <c r="E187" s="366" t="s">
        <v>522</v>
      </c>
      <c r="F187" s="366"/>
      <c r="G187" s="366"/>
      <c r="H187" s="366"/>
      <c r="I187" s="366"/>
      <c r="J187" s="366"/>
      <c r="K187" s="366"/>
      <c r="L187" s="366"/>
      <c r="M187" s="366"/>
      <c r="N187" s="366"/>
      <c r="O187" s="366"/>
      <c r="P187" s="366"/>
      <c r="Q187" s="366"/>
      <c r="R187" s="366"/>
      <c r="S187" s="366"/>
      <c r="T187" s="366"/>
      <c r="U187" s="366"/>
      <c r="V187" s="366"/>
      <c r="W187" s="366"/>
      <c r="X187" s="366"/>
      <c r="Y187" s="366"/>
      <c r="Z187" s="366"/>
      <c r="AA187" s="366"/>
      <c r="AB187" s="366"/>
      <c r="AC187" s="7"/>
      <c r="AD187" s="7"/>
    </row>
    <row r="188" spans="3:30" ht="21" x14ac:dyDescent="0.2">
      <c r="C188" s="10" t="s">
        <v>772</v>
      </c>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row>
    <row r="189" spans="3:30" ht="15" customHeight="1" x14ac:dyDescent="0.2"/>
    <row r="190" spans="3:30" s="16" customFormat="1" ht="20.100000000000001" customHeight="1" x14ac:dyDescent="0.2">
      <c r="C190" s="17"/>
      <c r="D190" s="16" t="s">
        <v>609</v>
      </c>
      <c r="H190" s="16" t="s">
        <v>120</v>
      </c>
      <c r="I190" s="372" t="s">
        <v>121</v>
      </c>
      <c r="J190" s="373"/>
      <c r="K190" s="365" t="s">
        <v>610</v>
      </c>
      <c r="L190" s="365"/>
      <c r="M190" s="365"/>
    </row>
    <row r="191" spans="3:30" ht="5.0999999999999996" customHeight="1" x14ac:dyDescent="0.2"/>
    <row r="192" spans="3:30" ht="15.75" customHeight="1" x14ac:dyDescent="0.2">
      <c r="D192" s="366" t="s">
        <v>139</v>
      </c>
      <c r="E192" s="366"/>
      <c r="F192" s="366"/>
      <c r="G192" s="366"/>
      <c r="H192" s="366"/>
      <c r="I192" s="7"/>
      <c r="J192" s="7"/>
      <c r="K192" s="7"/>
      <c r="L192" s="7"/>
      <c r="M192" s="7"/>
      <c r="N192" s="7"/>
      <c r="O192" s="7"/>
      <c r="P192" s="7"/>
      <c r="Q192" s="7"/>
      <c r="R192" s="7"/>
      <c r="S192" s="7"/>
      <c r="T192" s="7"/>
      <c r="U192" s="7"/>
      <c r="V192" s="7"/>
      <c r="W192" s="7"/>
      <c r="X192" s="7"/>
      <c r="Y192" s="7"/>
      <c r="Z192" s="7"/>
      <c r="AA192" s="7"/>
      <c r="AB192" s="7"/>
      <c r="AC192" s="7"/>
      <c r="AD192" s="7"/>
    </row>
    <row r="193" spans="2:30" ht="15.75" customHeight="1" x14ac:dyDescent="0.2">
      <c r="C193" s="3"/>
      <c r="D193" s="11"/>
      <c r="E193" s="366" t="s">
        <v>611</v>
      </c>
      <c r="F193" s="366"/>
      <c r="G193" s="366"/>
      <c r="H193" s="366"/>
      <c r="I193" s="366"/>
      <c r="J193" s="366"/>
      <c r="K193" s="366"/>
      <c r="L193" s="366"/>
      <c r="M193" s="366"/>
      <c r="N193" s="366"/>
      <c r="O193" s="366"/>
      <c r="P193" s="366"/>
      <c r="Q193" s="366"/>
      <c r="R193" s="366"/>
      <c r="S193" s="366"/>
      <c r="T193" s="366"/>
      <c r="U193" s="366"/>
      <c r="V193" s="366"/>
      <c r="W193" s="366"/>
      <c r="X193" s="366"/>
      <c r="Y193" s="366"/>
      <c r="Z193" s="366"/>
      <c r="AA193" s="366"/>
      <c r="AB193" s="366"/>
      <c r="AC193" s="7"/>
      <c r="AD193" s="7"/>
    </row>
    <row r="194" spans="2:30" ht="5.0999999999999996" customHeight="1" x14ac:dyDescent="0.2"/>
    <row r="195" spans="2:30" x14ac:dyDescent="0.2">
      <c r="D195" s="366" t="s">
        <v>123</v>
      </c>
      <c r="E195" s="366"/>
      <c r="F195" s="366"/>
      <c r="G195" s="366"/>
      <c r="H195" s="366"/>
    </row>
    <row r="196" spans="2:30" ht="5.0999999999999996" customHeight="1" x14ac:dyDescent="0.2"/>
    <row r="197" spans="2:30" ht="45" customHeight="1" x14ac:dyDescent="0.2">
      <c r="E197" s="366" t="s">
        <v>612</v>
      </c>
      <c r="F197" s="366"/>
      <c r="G197" s="366"/>
      <c r="H197" s="366"/>
      <c r="I197" s="366"/>
      <c r="J197" s="366"/>
      <c r="K197" s="366"/>
      <c r="L197" s="366"/>
      <c r="M197" s="366"/>
      <c r="N197" s="366"/>
      <c r="O197" s="366"/>
      <c r="P197" s="366"/>
      <c r="Q197" s="366"/>
      <c r="R197" s="366"/>
      <c r="S197" s="366"/>
      <c r="T197" s="366"/>
      <c r="U197" s="366"/>
      <c r="V197" s="366"/>
      <c r="W197" s="366"/>
      <c r="X197" s="366"/>
      <c r="Y197" s="366"/>
      <c r="Z197" s="366"/>
      <c r="AA197" s="366"/>
      <c r="AB197" s="366"/>
      <c r="AC197" s="7"/>
      <c r="AD197" s="7"/>
    </row>
    <row r="198" spans="2:30" ht="15.75" customHeight="1" x14ac:dyDescent="0.2"/>
    <row r="199" spans="2:30" ht="20.100000000000001" customHeight="1" x14ac:dyDescent="0.2">
      <c r="C199" s="10" t="s">
        <v>773</v>
      </c>
    </row>
    <row r="200" spans="2:30" ht="15.75" customHeight="1" x14ac:dyDescent="0.2">
      <c r="B200" s="11"/>
      <c r="C200" s="11"/>
      <c r="D200" s="11"/>
      <c r="E200" s="11"/>
      <c r="F200" s="11"/>
      <c r="G200" s="11"/>
      <c r="H200" s="11"/>
      <c r="I200" s="11"/>
      <c r="J200" s="11"/>
      <c r="K200" s="11"/>
      <c r="L200" s="11"/>
      <c r="M200" s="11"/>
      <c r="N200" s="11"/>
      <c r="O200" s="11"/>
    </row>
    <row r="201" spans="2:30" ht="15.75" customHeight="1" x14ac:dyDescent="0.2">
      <c r="B201" s="406" t="s">
        <v>621</v>
      </c>
      <c r="C201" s="406"/>
      <c r="D201" s="406"/>
      <c r="E201" s="406"/>
      <c r="F201" s="406"/>
      <c r="G201" s="406"/>
      <c r="H201" s="406"/>
      <c r="I201" s="406"/>
      <c r="J201" s="406"/>
      <c r="K201" s="11"/>
      <c r="L201" s="427" t="s">
        <v>620</v>
      </c>
      <c r="M201" s="427"/>
      <c r="N201" s="427"/>
      <c r="O201" s="427"/>
      <c r="P201" s="427"/>
      <c r="Q201" s="427"/>
      <c r="R201" s="427"/>
      <c r="S201" s="427"/>
      <c r="U201" s="411" t="s">
        <v>736</v>
      </c>
      <c r="V201" s="411"/>
      <c r="W201" s="411"/>
      <c r="X201" s="411"/>
      <c r="Y201" s="411"/>
      <c r="Z201" s="411"/>
      <c r="AA201" s="411"/>
      <c r="AB201" s="411"/>
      <c r="AC201" s="411"/>
    </row>
    <row r="202" spans="2:30" ht="15.75" customHeight="1" x14ac:dyDescent="0.2">
      <c r="C202" s="3"/>
      <c r="K202" s="11"/>
      <c r="L202" s="27"/>
      <c r="M202" s="27"/>
      <c r="N202" s="27"/>
      <c r="O202" s="27"/>
      <c r="P202" s="27"/>
      <c r="Q202" s="27"/>
      <c r="R202" s="27"/>
      <c r="S202" s="27"/>
      <c r="U202" s="27"/>
      <c r="V202" s="27"/>
      <c r="W202" s="27"/>
      <c r="X202" s="27"/>
      <c r="Y202" s="27"/>
      <c r="Z202" s="27"/>
      <c r="AA202" s="27"/>
      <c r="AB202" s="27"/>
      <c r="AC202" s="27"/>
    </row>
    <row r="203" spans="2:30" ht="20.100000000000001" customHeight="1" x14ac:dyDescent="0.2">
      <c r="B203" s="407">
        <v>1</v>
      </c>
      <c r="C203" s="408"/>
      <c r="D203" s="409" t="s">
        <v>146</v>
      </c>
      <c r="E203" s="409"/>
      <c r="F203" s="409"/>
      <c r="G203" s="409"/>
      <c r="H203" s="409"/>
      <c r="I203" s="409"/>
      <c r="J203" s="410"/>
      <c r="K203" s="11"/>
      <c r="L203" s="407">
        <v>1</v>
      </c>
      <c r="M203" s="408"/>
      <c r="N203" s="412" t="s">
        <v>146</v>
      </c>
      <c r="O203" s="412"/>
      <c r="P203" s="412"/>
      <c r="Q203" s="412"/>
      <c r="R203" s="412"/>
      <c r="S203" s="413"/>
      <c r="U203" s="407">
        <v>1</v>
      </c>
      <c r="V203" s="408"/>
      <c r="W203" s="412" t="s">
        <v>146</v>
      </c>
      <c r="X203" s="412"/>
      <c r="Y203" s="412"/>
      <c r="Z203" s="412"/>
      <c r="AA203" s="412"/>
      <c r="AB203" s="412"/>
      <c r="AC203" s="413"/>
    </row>
    <row r="204" spans="2:30" ht="20.100000000000001" customHeight="1" x14ac:dyDescent="0.2">
      <c r="B204" s="407">
        <v>1</v>
      </c>
      <c r="C204" s="408"/>
      <c r="D204" s="409" t="s">
        <v>147</v>
      </c>
      <c r="E204" s="409"/>
      <c r="F204" s="409"/>
      <c r="G204" s="409"/>
      <c r="H204" s="409"/>
      <c r="I204" s="409"/>
      <c r="J204" s="410"/>
      <c r="K204" s="11"/>
      <c r="L204" s="407">
        <v>1</v>
      </c>
      <c r="M204" s="408"/>
      <c r="N204" s="412" t="s">
        <v>147</v>
      </c>
      <c r="O204" s="412"/>
      <c r="P204" s="412"/>
      <c r="Q204" s="412"/>
      <c r="R204" s="412"/>
      <c r="S204" s="413"/>
      <c r="U204" s="407">
        <v>1</v>
      </c>
      <c r="V204" s="408"/>
      <c r="W204" s="412" t="s">
        <v>147</v>
      </c>
      <c r="X204" s="412"/>
      <c r="Y204" s="412"/>
      <c r="Z204" s="412"/>
      <c r="AA204" s="412"/>
      <c r="AB204" s="412"/>
      <c r="AC204" s="413"/>
    </row>
    <row r="205" spans="2:30" ht="20.100000000000001" customHeight="1" x14ac:dyDescent="0.2">
      <c r="B205" s="407">
        <v>3</v>
      </c>
      <c r="C205" s="408"/>
      <c r="D205" s="409" t="s">
        <v>148</v>
      </c>
      <c r="E205" s="409"/>
      <c r="F205" s="409"/>
      <c r="G205" s="409"/>
      <c r="H205" s="409"/>
      <c r="I205" s="409"/>
      <c r="J205" s="410"/>
      <c r="K205" s="11"/>
      <c r="L205" s="407">
        <v>3</v>
      </c>
      <c r="M205" s="408"/>
      <c r="N205" s="412" t="s">
        <v>148</v>
      </c>
      <c r="O205" s="412"/>
      <c r="P205" s="412"/>
      <c r="Q205" s="412"/>
      <c r="R205" s="412"/>
      <c r="S205" s="413"/>
      <c r="U205" s="407">
        <v>1</v>
      </c>
      <c r="V205" s="408"/>
      <c r="W205" s="412" t="s">
        <v>366</v>
      </c>
      <c r="X205" s="412"/>
      <c r="Y205" s="412"/>
      <c r="Z205" s="412"/>
      <c r="AA205" s="412"/>
      <c r="AB205" s="412"/>
      <c r="AC205" s="413"/>
    </row>
    <row r="206" spans="2:30" ht="20.100000000000001" customHeight="1" x14ac:dyDescent="0.2">
      <c r="B206" s="407">
        <v>2</v>
      </c>
      <c r="C206" s="408"/>
      <c r="D206" s="409" t="s">
        <v>149</v>
      </c>
      <c r="E206" s="409"/>
      <c r="F206" s="409"/>
      <c r="G206" s="409"/>
      <c r="H206" s="409"/>
      <c r="I206" s="409"/>
      <c r="J206" s="410"/>
      <c r="L206" s="407">
        <v>3</v>
      </c>
      <c r="M206" s="408"/>
      <c r="N206" s="412" t="s">
        <v>149</v>
      </c>
      <c r="O206" s="412"/>
      <c r="P206" s="412"/>
      <c r="Q206" s="412"/>
      <c r="R206" s="412"/>
      <c r="S206" s="413"/>
      <c r="U206" s="407">
        <v>1</v>
      </c>
      <c r="V206" s="408"/>
      <c r="W206" s="412" t="s">
        <v>367</v>
      </c>
      <c r="X206" s="412"/>
      <c r="Y206" s="412"/>
      <c r="Z206" s="412"/>
      <c r="AA206" s="412"/>
      <c r="AB206" s="412"/>
      <c r="AC206" s="413"/>
    </row>
    <row r="207" spans="2:30" ht="20.100000000000001" customHeight="1" x14ac:dyDescent="0.2">
      <c r="B207" s="407">
        <v>3</v>
      </c>
      <c r="C207" s="408"/>
      <c r="D207" s="409" t="s">
        <v>150</v>
      </c>
      <c r="E207" s="409"/>
      <c r="F207" s="409"/>
      <c r="G207" s="409"/>
      <c r="H207" s="409"/>
      <c r="I207" s="409"/>
      <c r="J207" s="410"/>
      <c r="L207" s="407">
        <v>2</v>
      </c>
      <c r="M207" s="408"/>
      <c r="N207" s="412" t="s">
        <v>150</v>
      </c>
      <c r="O207" s="412"/>
      <c r="P207" s="412"/>
      <c r="Q207" s="412"/>
      <c r="R207" s="412"/>
      <c r="S207" s="413"/>
      <c r="U207" s="407">
        <v>2</v>
      </c>
      <c r="V207" s="408"/>
      <c r="W207" s="412" t="s">
        <v>368</v>
      </c>
      <c r="X207" s="412"/>
      <c r="Y207" s="412"/>
      <c r="Z207" s="412"/>
      <c r="AA207" s="412"/>
      <c r="AB207" s="412"/>
      <c r="AC207" s="413"/>
    </row>
    <row r="208" spans="2:30" ht="20.100000000000001" customHeight="1" x14ac:dyDescent="0.2">
      <c r="B208" s="407">
        <v>9</v>
      </c>
      <c r="C208" s="408"/>
      <c r="D208" s="409" t="s">
        <v>442</v>
      </c>
      <c r="E208" s="409"/>
      <c r="F208" s="409"/>
      <c r="G208" s="409"/>
      <c r="H208" s="409"/>
      <c r="I208" s="409"/>
      <c r="J208" s="410"/>
      <c r="L208" s="407">
        <v>12</v>
      </c>
      <c r="M208" s="408"/>
      <c r="N208" s="412" t="s">
        <v>442</v>
      </c>
      <c r="O208" s="412"/>
      <c r="P208" s="412"/>
      <c r="Q208" s="412"/>
      <c r="R208" s="412"/>
      <c r="S208" s="413"/>
      <c r="U208" s="407">
        <v>2</v>
      </c>
      <c r="V208" s="408"/>
      <c r="W208" s="412" t="s">
        <v>369</v>
      </c>
      <c r="X208" s="412"/>
      <c r="Y208" s="412"/>
      <c r="Z208" s="412"/>
      <c r="AA208" s="412"/>
      <c r="AB208" s="412"/>
      <c r="AC208" s="413"/>
    </row>
    <row r="209" spans="2:29" ht="20.100000000000001" customHeight="1" x14ac:dyDescent="0.2">
      <c r="B209" s="407">
        <v>3</v>
      </c>
      <c r="C209" s="408"/>
      <c r="D209" s="409" t="s">
        <v>151</v>
      </c>
      <c r="E209" s="409"/>
      <c r="F209" s="409"/>
      <c r="G209" s="409"/>
      <c r="H209" s="409"/>
      <c r="I209" s="409"/>
      <c r="J209" s="410"/>
      <c r="L209" s="407">
        <v>4</v>
      </c>
      <c r="M209" s="408"/>
      <c r="N209" s="412" t="s">
        <v>151</v>
      </c>
      <c r="O209" s="412"/>
      <c r="P209" s="412"/>
      <c r="Q209" s="412"/>
      <c r="R209" s="412"/>
      <c r="S209" s="413"/>
      <c r="U209" s="407">
        <v>3</v>
      </c>
      <c r="V209" s="408"/>
      <c r="W209" s="412" t="s">
        <v>151</v>
      </c>
      <c r="X209" s="412"/>
      <c r="Y209" s="412"/>
      <c r="Z209" s="412"/>
      <c r="AA209" s="412"/>
      <c r="AB209" s="412"/>
      <c r="AC209" s="413"/>
    </row>
    <row r="210" spans="2:29" ht="20.100000000000001" customHeight="1" x14ac:dyDescent="0.2">
      <c r="B210" s="424">
        <v>1</v>
      </c>
      <c r="C210" s="425"/>
      <c r="D210" s="409" t="s">
        <v>154</v>
      </c>
      <c r="E210" s="409"/>
      <c r="F210" s="409"/>
      <c r="G210" s="409"/>
      <c r="H210" s="409"/>
      <c r="I210" s="409"/>
      <c r="J210" s="410"/>
      <c r="L210" s="407">
        <v>1</v>
      </c>
      <c r="M210" s="408"/>
      <c r="N210" s="412" t="s">
        <v>222</v>
      </c>
      <c r="O210" s="412"/>
      <c r="P210" s="412"/>
      <c r="Q210" s="412"/>
      <c r="R210" s="412"/>
      <c r="S210" s="413"/>
      <c r="U210" s="407">
        <v>12</v>
      </c>
      <c r="V210" s="408"/>
      <c r="W210" s="412" t="s">
        <v>442</v>
      </c>
      <c r="X210" s="412"/>
      <c r="Y210" s="412"/>
      <c r="Z210" s="412"/>
      <c r="AA210" s="412"/>
      <c r="AB210" s="412"/>
      <c r="AC210" s="413"/>
    </row>
    <row r="211" spans="2:29" ht="20.100000000000001" customHeight="1" x14ac:dyDescent="0.2">
      <c r="B211" s="424">
        <v>1</v>
      </c>
      <c r="C211" s="425"/>
      <c r="D211" s="409" t="s">
        <v>156</v>
      </c>
      <c r="E211" s="409"/>
      <c r="F211" s="409"/>
      <c r="G211" s="409"/>
      <c r="H211" s="409"/>
      <c r="I211" s="409"/>
      <c r="J211" s="410"/>
      <c r="L211" s="407">
        <v>1</v>
      </c>
      <c r="M211" s="408"/>
      <c r="N211" s="412" t="s">
        <v>310</v>
      </c>
      <c r="O211" s="412"/>
      <c r="P211" s="412"/>
      <c r="Q211" s="412"/>
      <c r="R211" s="412"/>
      <c r="S211" s="413"/>
      <c r="U211" s="407">
        <v>1</v>
      </c>
      <c r="V211" s="408"/>
      <c r="W211" s="412" t="s">
        <v>9</v>
      </c>
      <c r="X211" s="412"/>
      <c r="Y211" s="412"/>
      <c r="Z211" s="412"/>
      <c r="AA211" s="412"/>
      <c r="AB211" s="412"/>
      <c r="AC211" s="413"/>
    </row>
    <row r="212" spans="2:29" ht="20.100000000000001" customHeight="1" x14ac:dyDescent="0.2">
      <c r="B212" s="424">
        <v>1</v>
      </c>
      <c r="C212" s="425"/>
      <c r="D212" s="409" t="s">
        <v>158</v>
      </c>
      <c r="E212" s="409"/>
      <c r="F212" s="409"/>
      <c r="G212" s="409"/>
      <c r="H212" s="409"/>
      <c r="I212" s="409"/>
      <c r="J212" s="410"/>
      <c r="L212" s="407">
        <v>2</v>
      </c>
      <c r="M212" s="408"/>
      <c r="N212" s="412" t="s">
        <v>222</v>
      </c>
      <c r="O212" s="412"/>
      <c r="P212" s="412"/>
      <c r="Q212" s="412"/>
      <c r="R212" s="412"/>
      <c r="S212" s="413"/>
      <c r="U212" s="424">
        <v>1</v>
      </c>
      <c r="V212" s="425"/>
      <c r="W212" s="412" t="s">
        <v>154</v>
      </c>
      <c r="X212" s="412"/>
      <c r="Y212" s="412"/>
      <c r="Z212" s="412"/>
      <c r="AA212" s="412"/>
      <c r="AB212" s="412"/>
      <c r="AC212" s="413"/>
    </row>
    <row r="213" spans="2:29" ht="20.100000000000001" customHeight="1" x14ac:dyDescent="0.2">
      <c r="B213" s="424">
        <v>1</v>
      </c>
      <c r="C213" s="425"/>
      <c r="D213" s="409" t="s">
        <v>160</v>
      </c>
      <c r="E213" s="409"/>
      <c r="F213" s="409"/>
      <c r="G213" s="409"/>
      <c r="H213" s="409"/>
      <c r="I213" s="409"/>
      <c r="J213" s="410"/>
      <c r="L213" s="407">
        <v>1</v>
      </c>
      <c r="M213" s="408"/>
      <c r="N213" s="412" t="s">
        <v>310</v>
      </c>
      <c r="O213" s="412"/>
      <c r="P213" s="412"/>
      <c r="Q213" s="412"/>
      <c r="R213" s="412"/>
      <c r="S213" s="413"/>
      <c r="U213" s="424">
        <v>1</v>
      </c>
      <c r="V213" s="425"/>
      <c r="W213" s="412" t="s">
        <v>321</v>
      </c>
      <c r="X213" s="412"/>
      <c r="Y213" s="412"/>
      <c r="Z213" s="412"/>
      <c r="AA213" s="412"/>
      <c r="AB213" s="412"/>
      <c r="AC213" s="413"/>
    </row>
    <row r="214" spans="2:29" ht="20.100000000000001" customHeight="1" x14ac:dyDescent="0.2">
      <c r="B214" s="424">
        <v>1</v>
      </c>
      <c r="C214" s="425"/>
      <c r="D214" s="409" t="s">
        <v>162</v>
      </c>
      <c r="E214" s="409"/>
      <c r="F214" s="409"/>
      <c r="G214" s="409"/>
      <c r="H214" s="409"/>
      <c r="I214" s="409"/>
      <c r="J214" s="410"/>
      <c r="L214" s="428">
        <v>2</v>
      </c>
      <c r="M214" s="429"/>
      <c r="N214" s="432" t="s">
        <v>441</v>
      </c>
      <c r="O214" s="432"/>
      <c r="P214" s="432"/>
      <c r="Q214" s="432"/>
      <c r="R214" s="432"/>
      <c r="S214" s="433"/>
      <c r="U214" s="424">
        <v>1</v>
      </c>
      <c r="V214" s="425"/>
      <c r="W214" s="412" t="s">
        <v>158</v>
      </c>
      <c r="X214" s="412"/>
      <c r="Y214" s="412"/>
      <c r="Z214" s="412"/>
      <c r="AA214" s="412"/>
      <c r="AB214" s="412"/>
      <c r="AC214" s="413"/>
    </row>
    <row r="215" spans="2:29" ht="20.100000000000001" customHeight="1" x14ac:dyDescent="0.2">
      <c r="B215" s="407">
        <v>2</v>
      </c>
      <c r="C215" s="408"/>
      <c r="D215" s="409" t="s">
        <v>618</v>
      </c>
      <c r="E215" s="409"/>
      <c r="F215" s="409"/>
      <c r="G215" s="409"/>
      <c r="H215" s="409"/>
      <c r="I215" s="409"/>
      <c r="J215" s="410"/>
      <c r="L215" s="430"/>
      <c r="M215" s="431"/>
      <c r="N215" s="434"/>
      <c r="O215" s="434"/>
      <c r="P215" s="434"/>
      <c r="Q215" s="434"/>
      <c r="R215" s="434"/>
      <c r="S215" s="435"/>
      <c r="U215" s="424">
        <v>1</v>
      </c>
      <c r="V215" s="425"/>
      <c r="W215" s="412" t="s">
        <v>320</v>
      </c>
      <c r="X215" s="412"/>
      <c r="Y215" s="412"/>
      <c r="Z215" s="412"/>
      <c r="AA215" s="412"/>
      <c r="AB215" s="412"/>
      <c r="AC215" s="413"/>
    </row>
    <row r="216" spans="2:29" ht="20.100000000000001" customHeight="1" x14ac:dyDescent="0.2">
      <c r="B216" s="407">
        <v>2</v>
      </c>
      <c r="C216" s="408"/>
      <c r="D216" s="409" t="s">
        <v>165</v>
      </c>
      <c r="E216" s="409"/>
      <c r="F216" s="409"/>
      <c r="G216" s="409"/>
      <c r="H216" s="409"/>
      <c r="I216" s="409"/>
      <c r="J216" s="410"/>
      <c r="L216" s="407">
        <v>12</v>
      </c>
      <c r="M216" s="408"/>
      <c r="N216" s="412" t="s">
        <v>442</v>
      </c>
      <c r="O216" s="412"/>
      <c r="P216" s="412"/>
      <c r="Q216" s="412"/>
      <c r="R216" s="412"/>
      <c r="S216" s="413"/>
      <c r="U216" s="424">
        <v>1</v>
      </c>
      <c r="V216" s="425"/>
      <c r="W216" s="412" t="s">
        <v>156</v>
      </c>
      <c r="X216" s="412"/>
      <c r="Y216" s="412"/>
      <c r="Z216" s="412"/>
      <c r="AA216" s="412"/>
      <c r="AB216" s="412"/>
      <c r="AC216" s="413"/>
    </row>
    <row r="217" spans="2:29" ht="20.100000000000001" customHeight="1" x14ac:dyDescent="0.2">
      <c r="B217" s="426"/>
      <c r="C217" s="426"/>
      <c r="D217" s="426"/>
      <c r="E217" s="426"/>
      <c r="F217" s="426"/>
      <c r="G217" s="426"/>
      <c r="H217" s="426"/>
      <c r="I217" s="426"/>
      <c r="J217" s="426"/>
      <c r="L217" s="428">
        <v>1</v>
      </c>
      <c r="M217" s="429"/>
      <c r="N217" s="436" t="s">
        <v>150</v>
      </c>
      <c r="O217" s="436"/>
      <c r="P217" s="436"/>
      <c r="Q217" s="436"/>
      <c r="R217" s="436"/>
      <c r="S217" s="437"/>
    </row>
    <row r="218" spans="2:29" ht="20.100000000000001" customHeight="1" x14ac:dyDescent="0.2">
      <c r="B218" s="426"/>
      <c r="C218" s="426"/>
      <c r="D218" s="426"/>
      <c r="E218" s="426"/>
      <c r="F218" s="426"/>
      <c r="G218" s="426"/>
      <c r="H218" s="426"/>
      <c r="I218" s="426"/>
      <c r="J218" s="426"/>
      <c r="L218" s="430"/>
      <c r="M218" s="431"/>
      <c r="N218" s="438"/>
      <c r="O218" s="438"/>
      <c r="P218" s="438"/>
      <c r="Q218" s="438"/>
      <c r="R218" s="438"/>
      <c r="S218" s="439"/>
    </row>
    <row r="219" spans="2:29" ht="20.100000000000001" customHeight="1" x14ac:dyDescent="0.2">
      <c r="B219" s="426"/>
      <c r="C219" s="426"/>
      <c r="D219" s="426"/>
      <c r="E219" s="426"/>
      <c r="F219" s="426"/>
      <c r="G219" s="426"/>
      <c r="H219" s="426"/>
      <c r="I219" s="426"/>
      <c r="J219" s="426"/>
      <c r="L219" s="424">
        <v>1</v>
      </c>
      <c r="M219" s="425"/>
      <c r="N219" s="412" t="s">
        <v>154</v>
      </c>
      <c r="O219" s="412"/>
      <c r="P219" s="412"/>
      <c r="Q219" s="412"/>
      <c r="R219" s="412"/>
      <c r="S219" s="413"/>
    </row>
    <row r="220" spans="2:29" ht="20.100000000000001" customHeight="1" x14ac:dyDescent="0.2">
      <c r="C220" s="3"/>
      <c r="L220" s="424">
        <v>1</v>
      </c>
      <c r="M220" s="425"/>
      <c r="N220" s="412" t="s">
        <v>156</v>
      </c>
      <c r="O220" s="412"/>
      <c r="P220" s="412"/>
      <c r="Q220" s="412"/>
      <c r="R220" s="412"/>
      <c r="S220" s="413"/>
    </row>
    <row r="221" spans="2:29" ht="20.100000000000001" customHeight="1" x14ac:dyDescent="0.2">
      <c r="L221" s="424">
        <v>1</v>
      </c>
      <c r="M221" s="425"/>
      <c r="N221" s="412" t="s">
        <v>158</v>
      </c>
      <c r="O221" s="412"/>
      <c r="P221" s="412"/>
      <c r="Q221" s="412"/>
      <c r="R221" s="412"/>
      <c r="S221" s="413"/>
    </row>
    <row r="222" spans="2:29" ht="20.100000000000001" customHeight="1" x14ac:dyDescent="0.2">
      <c r="L222" s="424">
        <v>1</v>
      </c>
      <c r="M222" s="425"/>
      <c r="N222" s="412" t="s">
        <v>192</v>
      </c>
      <c r="O222" s="412"/>
      <c r="P222" s="412"/>
      <c r="Q222" s="412"/>
      <c r="R222" s="412"/>
      <c r="S222" s="413"/>
    </row>
    <row r="223" spans="2:29" ht="20.100000000000001" customHeight="1" x14ac:dyDescent="0.2">
      <c r="L223" s="424">
        <v>1</v>
      </c>
      <c r="M223" s="425"/>
      <c r="N223" s="412" t="s">
        <v>194</v>
      </c>
      <c r="O223" s="412"/>
      <c r="P223" s="412"/>
      <c r="Q223" s="412"/>
      <c r="R223" s="412"/>
      <c r="S223" s="413"/>
    </row>
    <row r="224" spans="2:29" ht="20.100000000000001" customHeight="1" x14ac:dyDescent="0.2"/>
    <row r="225" spans="2:30" ht="20.100000000000001" customHeight="1" x14ac:dyDescent="0.2"/>
    <row r="226" spans="2:30" ht="20.100000000000001" customHeight="1" x14ac:dyDescent="0.2">
      <c r="B226" s="411" t="s">
        <v>737</v>
      </c>
      <c r="C226" s="411"/>
      <c r="D226" s="411"/>
      <c r="E226" s="411"/>
      <c r="F226" s="411"/>
      <c r="G226" s="411"/>
      <c r="H226" s="411"/>
      <c r="I226" s="411"/>
      <c r="J226" s="411"/>
      <c r="L226" s="411" t="s">
        <v>738</v>
      </c>
      <c r="M226" s="411"/>
      <c r="N226" s="411"/>
      <c r="O226" s="411"/>
      <c r="P226" s="411"/>
      <c r="Q226" s="411"/>
      <c r="R226" s="411"/>
      <c r="S226" s="411"/>
      <c r="T226" s="411"/>
      <c r="V226" s="411" t="s">
        <v>739</v>
      </c>
      <c r="W226" s="411"/>
      <c r="X226" s="411"/>
      <c r="Y226" s="411"/>
      <c r="Z226" s="411"/>
      <c r="AA226" s="411"/>
      <c r="AB226" s="411"/>
      <c r="AC226" s="411"/>
      <c r="AD226" s="411"/>
    </row>
    <row r="227" spans="2:30" ht="20.100000000000001" customHeight="1" x14ac:dyDescent="0.2">
      <c r="B227" s="27"/>
      <c r="C227" s="27"/>
      <c r="D227" s="27"/>
      <c r="E227" s="27"/>
      <c r="F227" s="27"/>
      <c r="G227" s="27"/>
      <c r="H227" s="27"/>
      <c r="I227" s="27"/>
      <c r="J227" s="27"/>
      <c r="L227" s="27"/>
      <c r="M227" s="27"/>
      <c r="N227" s="27"/>
      <c r="O227" s="27"/>
      <c r="P227" s="27"/>
      <c r="Q227" s="27"/>
      <c r="R227" s="27"/>
      <c r="S227" s="27"/>
      <c r="T227" s="27"/>
      <c r="V227" s="27"/>
      <c r="W227" s="27"/>
      <c r="X227" s="27"/>
      <c r="Y227" s="27"/>
      <c r="Z227" s="27"/>
      <c r="AA227" s="27"/>
      <c r="AB227" s="27"/>
      <c r="AC227" s="27"/>
      <c r="AD227" s="27"/>
    </row>
    <row r="228" spans="2:30" ht="20.100000000000001" customHeight="1" x14ac:dyDescent="0.2">
      <c r="B228" s="407">
        <v>1</v>
      </c>
      <c r="C228" s="408"/>
      <c r="D228" s="412" t="s">
        <v>146</v>
      </c>
      <c r="E228" s="412"/>
      <c r="F228" s="412"/>
      <c r="G228" s="412"/>
      <c r="H228" s="412"/>
      <c r="I228" s="412"/>
      <c r="J228" s="413"/>
      <c r="L228" s="407">
        <v>1</v>
      </c>
      <c r="M228" s="408"/>
      <c r="N228" s="412" t="s">
        <v>146</v>
      </c>
      <c r="O228" s="412"/>
      <c r="P228" s="412"/>
      <c r="Q228" s="412"/>
      <c r="R228" s="412"/>
      <c r="S228" s="412"/>
      <c r="T228" s="413"/>
      <c r="V228" s="407">
        <v>1</v>
      </c>
      <c r="W228" s="408"/>
      <c r="X228" s="450" t="s">
        <v>394</v>
      </c>
      <c r="Y228" s="450"/>
      <c r="Z228" s="450"/>
      <c r="AA228" s="450"/>
      <c r="AB228" s="450"/>
      <c r="AC228" s="450"/>
      <c r="AD228" s="451"/>
    </row>
    <row r="229" spans="2:30" ht="20.100000000000001" customHeight="1" x14ac:dyDescent="0.2">
      <c r="B229" s="407">
        <v>1</v>
      </c>
      <c r="C229" s="408"/>
      <c r="D229" s="412" t="s">
        <v>147</v>
      </c>
      <c r="E229" s="412"/>
      <c r="F229" s="412"/>
      <c r="G229" s="412"/>
      <c r="H229" s="412"/>
      <c r="I229" s="412"/>
      <c r="J229" s="413"/>
      <c r="L229" s="407">
        <v>1</v>
      </c>
      <c r="M229" s="408"/>
      <c r="N229" s="412" t="s">
        <v>147</v>
      </c>
      <c r="O229" s="412"/>
      <c r="P229" s="412"/>
      <c r="Q229" s="412"/>
      <c r="R229" s="412"/>
      <c r="S229" s="412"/>
      <c r="T229" s="413"/>
      <c r="V229" s="407">
        <v>1</v>
      </c>
      <c r="W229" s="408"/>
      <c r="X229" s="450" t="s">
        <v>399</v>
      </c>
      <c r="Y229" s="450"/>
      <c r="Z229" s="450"/>
      <c r="AA229" s="450"/>
      <c r="AB229" s="450"/>
      <c r="AC229" s="450"/>
      <c r="AD229" s="451"/>
    </row>
    <row r="230" spans="2:30" ht="20.100000000000001" customHeight="1" x14ac:dyDescent="0.2">
      <c r="B230" s="407">
        <v>1</v>
      </c>
      <c r="C230" s="408"/>
      <c r="D230" s="412" t="s">
        <v>366</v>
      </c>
      <c r="E230" s="412"/>
      <c r="F230" s="412"/>
      <c r="G230" s="412"/>
      <c r="H230" s="412"/>
      <c r="I230" s="412"/>
      <c r="J230" s="413"/>
      <c r="L230" s="407">
        <v>1</v>
      </c>
      <c r="M230" s="408"/>
      <c r="N230" s="412" t="s">
        <v>148</v>
      </c>
      <c r="O230" s="412"/>
      <c r="P230" s="412"/>
      <c r="Q230" s="412"/>
      <c r="R230" s="412"/>
      <c r="S230" s="412"/>
      <c r="T230" s="413"/>
      <c r="V230" s="407">
        <v>1</v>
      </c>
      <c r="W230" s="408"/>
      <c r="X230" s="450" t="s">
        <v>395</v>
      </c>
      <c r="Y230" s="450"/>
      <c r="Z230" s="450"/>
      <c r="AA230" s="450"/>
      <c r="AB230" s="450"/>
      <c r="AC230" s="450"/>
      <c r="AD230" s="451"/>
    </row>
    <row r="231" spans="2:30" ht="20.100000000000001" customHeight="1" x14ac:dyDescent="0.2">
      <c r="B231" s="407">
        <v>1</v>
      </c>
      <c r="C231" s="408"/>
      <c r="D231" s="412" t="s">
        <v>367</v>
      </c>
      <c r="E231" s="412"/>
      <c r="F231" s="412"/>
      <c r="G231" s="412"/>
      <c r="H231" s="412"/>
      <c r="I231" s="412"/>
      <c r="J231" s="413"/>
      <c r="L231" s="407">
        <v>1</v>
      </c>
      <c r="M231" s="408"/>
      <c r="N231" s="412" t="s">
        <v>149</v>
      </c>
      <c r="O231" s="412"/>
      <c r="P231" s="412"/>
      <c r="Q231" s="412"/>
      <c r="R231" s="412"/>
      <c r="S231" s="412"/>
      <c r="T231" s="413"/>
      <c r="V231" s="407">
        <v>1</v>
      </c>
      <c r="W231" s="408"/>
      <c r="X231" s="450" t="s">
        <v>399</v>
      </c>
      <c r="Y231" s="450"/>
      <c r="Z231" s="450"/>
      <c r="AA231" s="450"/>
      <c r="AB231" s="450"/>
      <c r="AC231" s="450"/>
      <c r="AD231" s="451"/>
    </row>
    <row r="232" spans="2:30" ht="20.100000000000001" customHeight="1" x14ac:dyDescent="0.2">
      <c r="B232" s="407">
        <v>2</v>
      </c>
      <c r="C232" s="408"/>
      <c r="D232" s="412" t="s">
        <v>372</v>
      </c>
      <c r="E232" s="412"/>
      <c r="F232" s="412"/>
      <c r="G232" s="412"/>
      <c r="H232" s="412"/>
      <c r="I232" s="412"/>
      <c r="J232" s="413"/>
      <c r="L232" s="407">
        <v>1</v>
      </c>
      <c r="M232" s="408"/>
      <c r="N232" s="412" t="s">
        <v>148</v>
      </c>
      <c r="O232" s="412"/>
      <c r="P232" s="412"/>
      <c r="Q232" s="412"/>
      <c r="R232" s="412"/>
      <c r="S232" s="412"/>
      <c r="T232" s="413"/>
    </row>
    <row r="233" spans="2:30" ht="20.100000000000001" customHeight="1" x14ac:dyDescent="0.2">
      <c r="B233" s="407">
        <v>2</v>
      </c>
      <c r="C233" s="408"/>
      <c r="D233" s="412" t="s">
        <v>373</v>
      </c>
      <c r="E233" s="412"/>
      <c r="F233" s="412"/>
      <c r="G233" s="412"/>
      <c r="H233" s="412"/>
      <c r="I233" s="412"/>
      <c r="J233" s="413"/>
      <c r="L233" s="407">
        <v>1</v>
      </c>
      <c r="M233" s="408"/>
      <c r="N233" s="412" t="s">
        <v>149</v>
      </c>
      <c r="O233" s="412"/>
      <c r="P233" s="412"/>
      <c r="Q233" s="412"/>
      <c r="R233" s="412"/>
      <c r="S233" s="412"/>
      <c r="T233" s="413"/>
      <c r="V233" s="440" t="s">
        <v>740</v>
      </c>
      <c r="W233" s="440"/>
      <c r="X233" s="440"/>
      <c r="Y233" s="440"/>
      <c r="Z233" s="440"/>
      <c r="AA233" s="440"/>
      <c r="AB233" s="440"/>
      <c r="AC233" s="440"/>
      <c r="AD233" s="440"/>
    </row>
    <row r="234" spans="2:30" ht="20.100000000000001" customHeight="1" x14ac:dyDescent="0.2">
      <c r="B234" s="407">
        <v>3</v>
      </c>
      <c r="C234" s="408"/>
      <c r="D234" s="412" t="s">
        <v>151</v>
      </c>
      <c r="E234" s="412"/>
      <c r="F234" s="412"/>
      <c r="G234" s="412"/>
      <c r="H234" s="412"/>
      <c r="I234" s="412"/>
      <c r="J234" s="413"/>
      <c r="L234" s="407">
        <v>4</v>
      </c>
      <c r="M234" s="408"/>
      <c r="N234" s="412" t="s">
        <v>151</v>
      </c>
      <c r="O234" s="412"/>
      <c r="P234" s="412"/>
      <c r="Q234" s="412"/>
      <c r="R234" s="412"/>
      <c r="S234" s="412"/>
      <c r="T234" s="413"/>
      <c r="U234" s="363"/>
      <c r="V234" s="443" t="s">
        <v>883</v>
      </c>
      <c r="W234" s="436"/>
      <c r="X234" s="436"/>
      <c r="Y234" s="436"/>
      <c r="Z234" s="436"/>
      <c r="AA234" s="436"/>
      <c r="AB234" s="436"/>
      <c r="AC234" s="436"/>
      <c r="AD234" s="444"/>
    </row>
    <row r="235" spans="2:30" ht="20.100000000000001" customHeight="1" x14ac:dyDescent="0.2">
      <c r="B235" s="407">
        <v>12</v>
      </c>
      <c r="C235" s="408"/>
      <c r="D235" s="412" t="s">
        <v>442</v>
      </c>
      <c r="E235" s="412"/>
      <c r="F235" s="412"/>
      <c r="G235" s="412"/>
      <c r="H235" s="412"/>
      <c r="I235" s="412"/>
      <c r="J235" s="413"/>
      <c r="L235" s="407">
        <v>12</v>
      </c>
      <c r="M235" s="408"/>
      <c r="N235" s="412" t="s">
        <v>449</v>
      </c>
      <c r="O235" s="412"/>
      <c r="P235" s="412"/>
      <c r="Q235" s="412"/>
      <c r="R235" s="412"/>
      <c r="S235" s="412"/>
      <c r="T235" s="413"/>
      <c r="U235" s="363"/>
      <c r="V235" s="445"/>
      <c r="W235" s="446"/>
      <c r="X235" s="446"/>
      <c r="Y235" s="446"/>
      <c r="Z235" s="446"/>
      <c r="AA235" s="446"/>
      <c r="AB235" s="446"/>
      <c r="AC235" s="446"/>
      <c r="AD235" s="447"/>
    </row>
    <row r="236" spans="2:30" ht="20.100000000000001" customHeight="1" x14ac:dyDescent="0.2">
      <c r="B236" s="407">
        <v>1</v>
      </c>
      <c r="C236" s="408"/>
      <c r="D236" s="412" t="s">
        <v>9</v>
      </c>
      <c r="E236" s="412"/>
      <c r="F236" s="412"/>
      <c r="G236" s="412"/>
      <c r="H236" s="412"/>
      <c r="I236" s="412"/>
      <c r="J236" s="413"/>
      <c r="L236" s="407">
        <v>1</v>
      </c>
      <c r="M236" s="408"/>
      <c r="N236" s="412" t="s">
        <v>9</v>
      </c>
      <c r="O236" s="412"/>
      <c r="P236" s="412"/>
      <c r="Q236" s="412"/>
      <c r="R236" s="412"/>
      <c r="S236" s="412"/>
      <c r="T236" s="413"/>
      <c r="U236" s="363"/>
      <c r="V236" s="448"/>
      <c r="W236" s="438"/>
      <c r="X236" s="438"/>
      <c r="Y236" s="438"/>
      <c r="Z236" s="438"/>
      <c r="AA236" s="438"/>
      <c r="AB236" s="438"/>
      <c r="AC236" s="438"/>
      <c r="AD236" s="449"/>
    </row>
    <row r="237" spans="2:30" ht="20.100000000000001" customHeight="1" x14ac:dyDescent="0.2">
      <c r="B237" s="424">
        <v>1</v>
      </c>
      <c r="C237" s="425"/>
      <c r="D237" s="412" t="s">
        <v>154</v>
      </c>
      <c r="E237" s="412"/>
      <c r="F237" s="412"/>
      <c r="G237" s="412"/>
      <c r="H237" s="412"/>
      <c r="I237" s="412"/>
      <c r="J237" s="413"/>
      <c r="L237" s="424">
        <v>1</v>
      </c>
      <c r="M237" s="425"/>
      <c r="N237" s="412" t="s">
        <v>376</v>
      </c>
      <c r="O237" s="412"/>
      <c r="P237" s="412"/>
      <c r="Q237" s="412"/>
      <c r="R237" s="412"/>
      <c r="S237" s="412"/>
      <c r="T237" s="413"/>
      <c r="V237" s="441"/>
      <c r="W237" s="441"/>
      <c r="X237" s="442"/>
      <c r="Y237" s="442"/>
      <c r="Z237" s="442"/>
      <c r="AA237" s="442"/>
      <c r="AB237" s="442"/>
      <c r="AC237" s="442"/>
      <c r="AD237" s="442"/>
    </row>
    <row r="238" spans="2:30" ht="20.100000000000001" customHeight="1" x14ac:dyDescent="0.2">
      <c r="B238" s="424">
        <v>1</v>
      </c>
      <c r="C238" s="425"/>
      <c r="D238" s="412" t="s">
        <v>158</v>
      </c>
      <c r="E238" s="412"/>
      <c r="F238" s="412"/>
      <c r="G238" s="412"/>
      <c r="H238" s="412"/>
      <c r="I238" s="412"/>
      <c r="J238" s="413"/>
      <c r="L238" s="424">
        <v>1</v>
      </c>
      <c r="M238" s="425"/>
      <c r="N238" s="412" t="s">
        <v>158</v>
      </c>
      <c r="O238" s="412"/>
      <c r="P238" s="412"/>
      <c r="Q238" s="412"/>
      <c r="R238" s="412"/>
      <c r="S238" s="412"/>
      <c r="T238" s="413"/>
      <c r="V238" s="441"/>
      <c r="W238" s="441"/>
      <c r="X238" s="442"/>
      <c r="Y238" s="442"/>
      <c r="Z238" s="442"/>
      <c r="AA238" s="442"/>
      <c r="AB238" s="442"/>
      <c r="AC238" s="442"/>
      <c r="AD238" s="442"/>
    </row>
    <row r="239" spans="2:30" ht="20.100000000000001" customHeight="1" x14ac:dyDescent="0.2">
      <c r="B239" s="424">
        <v>1</v>
      </c>
      <c r="C239" s="425"/>
      <c r="D239" s="412" t="s">
        <v>335</v>
      </c>
      <c r="E239" s="412"/>
      <c r="F239" s="412"/>
      <c r="G239" s="412"/>
      <c r="H239" s="412"/>
      <c r="I239" s="412"/>
      <c r="J239" s="413"/>
      <c r="L239" s="424">
        <v>1</v>
      </c>
      <c r="M239" s="425"/>
      <c r="N239" s="412" t="s">
        <v>335</v>
      </c>
      <c r="O239" s="412"/>
      <c r="P239" s="412"/>
      <c r="Q239" s="412"/>
      <c r="R239" s="412"/>
      <c r="S239" s="412"/>
      <c r="T239" s="413"/>
      <c r="V239" s="441"/>
      <c r="W239" s="441"/>
      <c r="X239" s="442"/>
      <c r="Y239" s="442"/>
      <c r="Z239" s="442"/>
      <c r="AA239" s="442"/>
      <c r="AB239" s="442"/>
      <c r="AC239" s="442"/>
      <c r="AD239" s="442"/>
    </row>
    <row r="240" spans="2:30" ht="20.100000000000001" customHeight="1" x14ac:dyDescent="0.2">
      <c r="B240" s="424">
        <v>1</v>
      </c>
      <c r="C240" s="425"/>
      <c r="D240" s="412" t="s">
        <v>156</v>
      </c>
      <c r="E240" s="412"/>
      <c r="F240" s="412"/>
      <c r="G240" s="412"/>
      <c r="H240" s="412"/>
      <c r="I240" s="412"/>
      <c r="J240" s="413"/>
      <c r="L240" s="424">
        <v>1</v>
      </c>
      <c r="M240" s="425"/>
      <c r="N240" s="412" t="s">
        <v>156</v>
      </c>
      <c r="O240" s="412"/>
      <c r="P240" s="412"/>
      <c r="Q240" s="412"/>
      <c r="R240" s="412"/>
      <c r="S240" s="412"/>
      <c r="T240" s="413"/>
      <c r="V240" s="441"/>
      <c r="W240" s="441"/>
      <c r="X240" s="442"/>
      <c r="Y240" s="442"/>
      <c r="Z240" s="442"/>
      <c r="AA240" s="442"/>
      <c r="AB240" s="442"/>
      <c r="AC240" s="442"/>
      <c r="AD240" s="442"/>
    </row>
    <row r="241" spans="3:30" ht="20.100000000000001" customHeight="1" x14ac:dyDescent="0.2">
      <c r="L241" s="424">
        <v>1</v>
      </c>
      <c r="M241" s="425"/>
      <c r="N241" s="412" t="s">
        <v>643</v>
      </c>
      <c r="O241" s="412"/>
      <c r="P241" s="412"/>
      <c r="Q241" s="412"/>
      <c r="R241" s="412"/>
      <c r="S241" s="412"/>
      <c r="T241" s="413"/>
      <c r="V241" s="441"/>
      <c r="W241" s="441"/>
      <c r="X241" s="442"/>
      <c r="Y241" s="442"/>
      <c r="Z241" s="442"/>
      <c r="AA241" s="442"/>
      <c r="AB241" s="442"/>
      <c r="AC241" s="442"/>
      <c r="AD241" s="442"/>
    </row>
    <row r="242" spans="3:30" ht="20.100000000000001" customHeight="1" x14ac:dyDescent="0.2">
      <c r="L242" s="424">
        <v>1</v>
      </c>
      <c r="M242" s="425"/>
      <c r="N242" s="412" t="s">
        <v>378</v>
      </c>
      <c r="O242" s="412"/>
      <c r="P242" s="412"/>
      <c r="Q242" s="412"/>
      <c r="R242" s="412"/>
      <c r="S242" s="412"/>
      <c r="T242" s="413"/>
      <c r="V242" s="441"/>
      <c r="W242" s="441"/>
      <c r="X242" s="442"/>
      <c r="Y242" s="442"/>
      <c r="Z242" s="442"/>
      <c r="AA242" s="442"/>
      <c r="AB242" s="442"/>
      <c r="AC242" s="442"/>
      <c r="AD242" s="442"/>
    </row>
    <row r="243" spans="3:30" ht="20.100000000000001" customHeight="1" x14ac:dyDescent="0.2">
      <c r="V243" s="441"/>
      <c r="W243" s="441"/>
      <c r="X243" s="442"/>
      <c r="Y243" s="442"/>
      <c r="Z243" s="442"/>
      <c r="AA243" s="442"/>
      <c r="AB243" s="442"/>
      <c r="AC243" s="442"/>
      <c r="AD243" s="442"/>
    </row>
    <row r="244" spans="3:30" x14ac:dyDescent="0.2">
      <c r="C244" s="4" t="s">
        <v>780</v>
      </c>
    </row>
    <row r="245" spans="3:30" x14ac:dyDescent="0.2">
      <c r="C245" s="4" t="s">
        <v>363</v>
      </c>
    </row>
    <row r="246" spans="3:30" x14ac:dyDescent="0.2">
      <c r="C246" s="4" t="s">
        <v>774</v>
      </c>
    </row>
    <row r="247" spans="3:30" x14ac:dyDescent="0.2">
      <c r="C247" s="4" t="s">
        <v>359</v>
      </c>
    </row>
    <row r="248" spans="3:30" x14ac:dyDescent="0.2">
      <c r="C248" s="4" t="s">
        <v>775</v>
      </c>
    </row>
  </sheetData>
  <sheetProtection sheet="1"/>
  <mergeCells count="336">
    <mergeCell ref="V243:W243"/>
    <mergeCell ref="X243:AD243"/>
    <mergeCell ref="E37:AD37"/>
    <mergeCell ref="D57:E57"/>
    <mergeCell ref="D58:E58"/>
    <mergeCell ref="D64:E64"/>
    <mergeCell ref="F57:AD57"/>
    <mergeCell ref="F63:AD63"/>
    <mergeCell ref="F61:AD61"/>
    <mergeCell ref="F102:AC102"/>
    <mergeCell ref="F99:U99"/>
    <mergeCell ref="F96:AD96"/>
    <mergeCell ref="E73:AD73"/>
    <mergeCell ref="D75:H75"/>
    <mergeCell ref="D77:E77"/>
    <mergeCell ref="D72:AD72"/>
    <mergeCell ref="C69:AD69"/>
    <mergeCell ref="D80:E80"/>
    <mergeCell ref="V238:W238"/>
    <mergeCell ref="X238:AD238"/>
    <mergeCell ref="V239:W239"/>
    <mergeCell ref="X239:AD239"/>
    <mergeCell ref="V240:W240"/>
    <mergeCell ref="X240:AD240"/>
    <mergeCell ref="V241:W241"/>
    <mergeCell ref="X241:AD241"/>
    <mergeCell ref="V242:W242"/>
    <mergeCell ref="X242:AD242"/>
    <mergeCell ref="L239:M239"/>
    <mergeCell ref="N239:T239"/>
    <mergeCell ref="L240:M240"/>
    <mergeCell ref="N240:T240"/>
    <mergeCell ref="L241:M241"/>
    <mergeCell ref="N241:T241"/>
    <mergeCell ref="L242:M242"/>
    <mergeCell ref="N242:T242"/>
    <mergeCell ref="V226:AD226"/>
    <mergeCell ref="V228:W228"/>
    <mergeCell ref="X228:AD228"/>
    <mergeCell ref="V229:W229"/>
    <mergeCell ref="X229:AD229"/>
    <mergeCell ref="V230:W230"/>
    <mergeCell ref="X230:AD230"/>
    <mergeCell ref="V231:W231"/>
    <mergeCell ref="X231:AD231"/>
    <mergeCell ref="V233:AD233"/>
    <mergeCell ref="V237:W237"/>
    <mergeCell ref="X237:AD237"/>
    <mergeCell ref="B239:C239"/>
    <mergeCell ref="D239:J239"/>
    <mergeCell ref="B235:C235"/>
    <mergeCell ref="D235:J235"/>
    <mergeCell ref="B236:C236"/>
    <mergeCell ref="D236:J236"/>
    <mergeCell ref="B237:C237"/>
    <mergeCell ref="D237:J237"/>
    <mergeCell ref="B238:C238"/>
    <mergeCell ref="D238:J238"/>
    <mergeCell ref="V234:AD236"/>
    <mergeCell ref="B240:C240"/>
    <mergeCell ref="D240:J240"/>
    <mergeCell ref="L229:M229"/>
    <mergeCell ref="N229:T229"/>
    <mergeCell ref="L230:M230"/>
    <mergeCell ref="N230:T230"/>
    <mergeCell ref="L231:M231"/>
    <mergeCell ref="N231:T231"/>
    <mergeCell ref="L232:M232"/>
    <mergeCell ref="N232:T232"/>
    <mergeCell ref="L233:M233"/>
    <mergeCell ref="N233:T233"/>
    <mergeCell ref="L234:M234"/>
    <mergeCell ref="N234:T234"/>
    <mergeCell ref="L235:M235"/>
    <mergeCell ref="N235:T235"/>
    <mergeCell ref="L236:M236"/>
    <mergeCell ref="N236:T236"/>
    <mergeCell ref="L237:M237"/>
    <mergeCell ref="N237:T237"/>
    <mergeCell ref="L238:M238"/>
    <mergeCell ref="N238:T238"/>
    <mergeCell ref="B234:C234"/>
    <mergeCell ref="D234:J234"/>
    <mergeCell ref="B229:C229"/>
    <mergeCell ref="D229:J229"/>
    <mergeCell ref="B230:C230"/>
    <mergeCell ref="D230:J230"/>
    <mergeCell ref="B231:C231"/>
    <mergeCell ref="D231:J231"/>
    <mergeCell ref="B232:C232"/>
    <mergeCell ref="D232:J232"/>
    <mergeCell ref="B233:C233"/>
    <mergeCell ref="D233:J233"/>
    <mergeCell ref="U214:V214"/>
    <mergeCell ref="W214:AC214"/>
    <mergeCell ref="U215:V215"/>
    <mergeCell ref="W215:AC215"/>
    <mergeCell ref="U216:V216"/>
    <mergeCell ref="W216:AC216"/>
    <mergeCell ref="B226:J226"/>
    <mergeCell ref="B228:C228"/>
    <mergeCell ref="D228:J228"/>
    <mergeCell ref="L226:T226"/>
    <mergeCell ref="L228:M228"/>
    <mergeCell ref="N228:T228"/>
    <mergeCell ref="L223:M223"/>
    <mergeCell ref="N223:S223"/>
    <mergeCell ref="L217:M218"/>
    <mergeCell ref="N217:S218"/>
    <mergeCell ref="L219:M219"/>
    <mergeCell ref="N219:S219"/>
    <mergeCell ref="L220:M220"/>
    <mergeCell ref="N220:S220"/>
    <mergeCell ref="L221:M221"/>
    <mergeCell ref="N221:S221"/>
    <mergeCell ref="L222:M222"/>
    <mergeCell ref="N222:S222"/>
    <mergeCell ref="U209:V209"/>
    <mergeCell ref="W209:AC209"/>
    <mergeCell ref="U210:V210"/>
    <mergeCell ref="W210:AC210"/>
    <mergeCell ref="U211:V211"/>
    <mergeCell ref="W211:AC211"/>
    <mergeCell ref="U212:V212"/>
    <mergeCell ref="W212:AC212"/>
    <mergeCell ref="U213:V213"/>
    <mergeCell ref="W213:AC213"/>
    <mergeCell ref="U204:V204"/>
    <mergeCell ref="W204:AC204"/>
    <mergeCell ref="U205:V205"/>
    <mergeCell ref="W205:AC205"/>
    <mergeCell ref="W206:AC206"/>
    <mergeCell ref="U206:V206"/>
    <mergeCell ref="U207:V207"/>
    <mergeCell ref="W207:AC207"/>
    <mergeCell ref="U208:V208"/>
    <mergeCell ref="W208:AC208"/>
    <mergeCell ref="L211:M211"/>
    <mergeCell ref="N211:S211"/>
    <mergeCell ref="L212:M212"/>
    <mergeCell ref="N212:S212"/>
    <mergeCell ref="L213:M213"/>
    <mergeCell ref="N213:S213"/>
    <mergeCell ref="L214:M215"/>
    <mergeCell ref="N214:S215"/>
    <mergeCell ref="L216:M216"/>
    <mergeCell ref="N216:S216"/>
    <mergeCell ref="B214:C214"/>
    <mergeCell ref="D214:J214"/>
    <mergeCell ref="B215:C215"/>
    <mergeCell ref="D215:J215"/>
    <mergeCell ref="B216:C216"/>
    <mergeCell ref="D216:J216"/>
    <mergeCell ref="B217:J219"/>
    <mergeCell ref="L201:S201"/>
    <mergeCell ref="L203:M203"/>
    <mergeCell ref="N203:S203"/>
    <mergeCell ref="L204:M204"/>
    <mergeCell ref="N204:S204"/>
    <mergeCell ref="L205:M205"/>
    <mergeCell ref="N205:S205"/>
    <mergeCell ref="L206:M206"/>
    <mergeCell ref="N206:S206"/>
    <mergeCell ref="L207:M207"/>
    <mergeCell ref="N207:S207"/>
    <mergeCell ref="L208:M208"/>
    <mergeCell ref="N208:S208"/>
    <mergeCell ref="L209:M209"/>
    <mergeCell ref="N209:S209"/>
    <mergeCell ref="L210:M210"/>
    <mergeCell ref="N210:S210"/>
    <mergeCell ref="B209:C209"/>
    <mergeCell ref="D209:J209"/>
    <mergeCell ref="B210:C210"/>
    <mergeCell ref="D210:J210"/>
    <mergeCell ref="B211:C211"/>
    <mergeCell ref="D211:J211"/>
    <mergeCell ref="B212:C212"/>
    <mergeCell ref="D212:J212"/>
    <mergeCell ref="B213:C213"/>
    <mergeCell ref="D213:J213"/>
    <mergeCell ref="B204:C204"/>
    <mergeCell ref="D204:J204"/>
    <mergeCell ref="B205:C205"/>
    <mergeCell ref="D205:J205"/>
    <mergeCell ref="B206:C206"/>
    <mergeCell ref="D206:J206"/>
    <mergeCell ref="B207:C207"/>
    <mergeCell ref="D207:J207"/>
    <mergeCell ref="B208:C208"/>
    <mergeCell ref="D208:J208"/>
    <mergeCell ref="B201:J201"/>
    <mergeCell ref="B203:C203"/>
    <mergeCell ref="D203:J203"/>
    <mergeCell ref="F158:AB158"/>
    <mergeCell ref="K141:P141"/>
    <mergeCell ref="V141:W141"/>
    <mergeCell ref="X143:AD143"/>
    <mergeCell ref="U201:AC201"/>
    <mergeCell ref="U203:V203"/>
    <mergeCell ref="W203:AC203"/>
    <mergeCell ref="V144:AD145"/>
    <mergeCell ref="G148:AA148"/>
    <mergeCell ref="G147:M147"/>
    <mergeCell ref="F141:I141"/>
    <mergeCell ref="K142:P142"/>
    <mergeCell ref="V142:W142"/>
    <mergeCell ref="X142:AD142"/>
    <mergeCell ref="R137:T143"/>
    <mergeCell ref="V137:W137"/>
    <mergeCell ref="F137:I138"/>
    <mergeCell ref="I178:J178"/>
    <mergeCell ref="K178:M178"/>
    <mergeCell ref="G149:AA149"/>
    <mergeCell ref="G152:AA152"/>
    <mergeCell ref="F162:AD162"/>
    <mergeCell ref="B3:AD3"/>
    <mergeCell ref="D6:AD6"/>
    <mergeCell ref="E36:AD36"/>
    <mergeCell ref="E38:AD38"/>
    <mergeCell ref="F133:AC133"/>
    <mergeCell ref="C4:M4"/>
    <mergeCell ref="F58:AC58"/>
    <mergeCell ref="F117:AB117"/>
    <mergeCell ref="F59:AC59"/>
    <mergeCell ref="F60:AC60"/>
    <mergeCell ref="F130:AC130"/>
    <mergeCell ref="D93:H93"/>
    <mergeCell ref="D95:E95"/>
    <mergeCell ref="F95:AD95"/>
    <mergeCell ref="F119:AA119"/>
    <mergeCell ref="K128:M128"/>
    <mergeCell ref="K108:M108"/>
    <mergeCell ref="F104:AD104"/>
    <mergeCell ref="X141:AD141"/>
    <mergeCell ref="K137:P137"/>
    <mergeCell ref="D86:E86"/>
    <mergeCell ref="F86:AD86"/>
    <mergeCell ref="G153:AA153"/>
    <mergeCell ref="F151:X151"/>
    <mergeCell ref="G154:AA154"/>
    <mergeCell ref="G155:AA155"/>
    <mergeCell ref="F161:AD161"/>
    <mergeCell ref="D84:E84"/>
    <mergeCell ref="C87:AD87"/>
    <mergeCell ref="D96:E96"/>
    <mergeCell ref="F120:AA120"/>
    <mergeCell ref="F121:AA121"/>
    <mergeCell ref="F122:AA122"/>
    <mergeCell ref="X140:AD140"/>
    <mergeCell ref="V139:W139"/>
    <mergeCell ref="V138:W138"/>
    <mergeCell ref="F135:AD135"/>
    <mergeCell ref="X138:AD138"/>
    <mergeCell ref="X139:AD139"/>
    <mergeCell ref="F140:I140"/>
    <mergeCell ref="F131:AC131"/>
    <mergeCell ref="F134:AC134"/>
    <mergeCell ref="I128:J128"/>
    <mergeCell ref="X137:AD137"/>
    <mergeCell ref="K140:P140"/>
    <mergeCell ref="K139:P139"/>
    <mergeCell ref="K138:P138"/>
    <mergeCell ref="F77:AD77"/>
    <mergeCell ref="D44:AD44"/>
    <mergeCell ref="D46:AD46"/>
    <mergeCell ref="D55:E55"/>
    <mergeCell ref="F55:AD55"/>
    <mergeCell ref="D50:AD50"/>
    <mergeCell ref="C48:AD48"/>
    <mergeCell ref="D53:H53"/>
    <mergeCell ref="E51:AD51"/>
    <mergeCell ref="D56:E56"/>
    <mergeCell ref="F56:AD56"/>
    <mergeCell ref="K70:M70"/>
    <mergeCell ref="D34:AC34"/>
    <mergeCell ref="D35:AD35"/>
    <mergeCell ref="D43:AD43"/>
    <mergeCell ref="C8:H8"/>
    <mergeCell ref="D10:AD10"/>
    <mergeCell ref="D12:AD12"/>
    <mergeCell ref="D14:AD14"/>
    <mergeCell ref="D16:AD16"/>
    <mergeCell ref="D42:AD42"/>
    <mergeCell ref="D20:AD20"/>
    <mergeCell ref="D21:AD21"/>
    <mergeCell ref="C18:H18"/>
    <mergeCell ref="D23:AD23"/>
    <mergeCell ref="D195:H195"/>
    <mergeCell ref="E197:AB197"/>
    <mergeCell ref="I166:J166"/>
    <mergeCell ref="K166:M166"/>
    <mergeCell ref="D168:H168"/>
    <mergeCell ref="E91:AD91"/>
    <mergeCell ref="F159:AE159"/>
    <mergeCell ref="E193:AB193"/>
    <mergeCell ref="D111:H111"/>
    <mergeCell ref="D180:H180"/>
    <mergeCell ref="D192:H192"/>
    <mergeCell ref="D183:H183"/>
    <mergeCell ref="E185:AB185"/>
    <mergeCell ref="E187:AB187"/>
    <mergeCell ref="I190:J190"/>
    <mergeCell ref="D130:E130"/>
    <mergeCell ref="V140:W140"/>
    <mergeCell ref="F142:I143"/>
    <mergeCell ref="F118:AB118"/>
    <mergeCell ref="F139:I139"/>
    <mergeCell ref="D115:E115"/>
    <mergeCell ref="D117:E117"/>
    <mergeCell ref="V143:W143"/>
    <mergeCell ref="K143:P143"/>
    <mergeCell ref="A1:P1"/>
    <mergeCell ref="K190:M190"/>
    <mergeCell ref="D171:H171"/>
    <mergeCell ref="E173:AB173"/>
    <mergeCell ref="E174:AB174"/>
    <mergeCell ref="E186:AB186"/>
    <mergeCell ref="E181:AB181"/>
    <mergeCell ref="F80:AD80"/>
    <mergeCell ref="E169:AB169"/>
    <mergeCell ref="F67:AB67"/>
    <mergeCell ref="D24:AD24"/>
    <mergeCell ref="E40:AD40"/>
    <mergeCell ref="E41:AD41"/>
    <mergeCell ref="D28:AD28"/>
    <mergeCell ref="F65:S65"/>
    <mergeCell ref="F62:AC62"/>
    <mergeCell ref="D90:AD90"/>
    <mergeCell ref="F84:AD84"/>
    <mergeCell ref="E39:AC39"/>
    <mergeCell ref="D22:AD22"/>
    <mergeCell ref="C26:H26"/>
    <mergeCell ref="C30:H30"/>
    <mergeCell ref="D32:AD32"/>
    <mergeCell ref="D33:AD33"/>
  </mergeCells>
  <phoneticPr fontId="3" type="noConversion"/>
  <hyperlinks>
    <hyperlink ref="K70:M70" location="Cadastro!A1" display="Cadastro" xr:uid="{00000000-0004-0000-1100-000000000000}"/>
    <hyperlink ref="K128:M128" location="'CH Equipe'!A1" display="CH Equipe" xr:uid="{00000000-0004-0000-1100-000001000000}"/>
    <hyperlink ref="K178:M178" location="AAE!A1" display="AAE" xr:uid="{00000000-0004-0000-1100-000002000000}"/>
    <hyperlink ref="K190:M190" location="Ap.Diag.!A1" display="Ap.Diag." xr:uid="{00000000-0004-0000-1100-000003000000}"/>
    <hyperlink ref="K166:M166" location="Agenda!A1" display="Agenda" xr:uid="{00000000-0004-0000-1100-000004000000}"/>
    <hyperlink ref="K108:M108" location="'CH Equipe'!A1" display="CH Equipe" xr:uid="{00000000-0004-0000-1100-000005000000}"/>
    <hyperlink ref="V233:AD233" location="'S. MENTAL'!A1" display="PARÂMETROS PARA A PROGRAMAÇÃO (por usuário - Saúde mental)" xr:uid="{1337854E-7EB1-4A53-A0E4-187F49A0E1E0}"/>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7"/>
  <dimension ref="B2:AF74"/>
  <sheetViews>
    <sheetView topLeftCell="A54" workbookViewId="0">
      <selection activeCell="U49" sqref="U49"/>
    </sheetView>
  </sheetViews>
  <sheetFormatPr defaultColWidth="5.125" defaultRowHeight="14.25" x14ac:dyDescent="0.2"/>
  <cols>
    <col min="1" max="5" width="5.125" style="243"/>
    <col min="6" max="6" width="2.625" style="243" customWidth="1"/>
    <col min="7" max="12" width="5.125" style="243"/>
    <col min="13" max="13" width="2.625" style="243" customWidth="1"/>
    <col min="14" max="16" width="5.125" style="243"/>
    <col min="17" max="17" width="9.25" style="243" customWidth="1"/>
    <col min="18" max="19" width="5.125" style="243"/>
    <col min="20" max="20" width="2.625" style="243" customWidth="1"/>
    <col min="21" max="21" width="6.875" style="243" customWidth="1"/>
    <col min="22" max="22" width="5.5" style="243" customWidth="1"/>
    <col min="23" max="23" width="2.625" style="243" customWidth="1"/>
    <col min="24" max="24" width="7" style="243" customWidth="1"/>
    <col min="25" max="25" width="4.625" style="243" customWidth="1"/>
    <col min="26" max="26" width="6.375" style="243" customWidth="1"/>
    <col min="27" max="27" width="7.625" style="243" customWidth="1"/>
    <col min="28" max="16384" width="5.125" style="243"/>
  </cols>
  <sheetData>
    <row r="2" spans="2:31"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139"/>
      <c r="AD2" s="190"/>
      <c r="AE2" s="191"/>
    </row>
    <row r="4" spans="2:31" ht="15" customHeight="1" x14ac:dyDescent="0.25">
      <c r="B4" s="245" t="s">
        <v>260</v>
      </c>
    </row>
    <row r="5" spans="2:31" ht="7.5" customHeight="1" x14ac:dyDescent="0.25">
      <c r="B5" s="245"/>
    </row>
    <row r="6" spans="2:31" ht="15" customHeight="1" x14ac:dyDescent="0.25">
      <c r="B6" s="245" t="s">
        <v>567</v>
      </c>
    </row>
    <row r="8" spans="2:31" s="16" customFormat="1" ht="43.5" customHeight="1" x14ac:dyDescent="0.2">
      <c r="B8" s="709" t="s">
        <v>581</v>
      </c>
      <c r="C8" s="710"/>
      <c r="D8" s="710"/>
      <c r="E8" s="710"/>
      <c r="F8" s="710"/>
      <c r="G8" s="710"/>
      <c r="H8" s="710"/>
      <c r="I8" s="710"/>
      <c r="J8" s="710"/>
      <c r="K8" s="710"/>
      <c r="L8" s="711"/>
      <c r="M8" s="189"/>
      <c r="N8" s="692" t="s">
        <v>546</v>
      </c>
      <c r="O8" s="692"/>
      <c r="Q8" s="717" t="s">
        <v>706</v>
      </c>
      <c r="R8" s="718"/>
      <c r="S8" s="49"/>
      <c r="T8" s="717" t="s">
        <v>545</v>
      </c>
      <c r="U8" s="718"/>
      <c r="W8" s="692" t="s">
        <v>722</v>
      </c>
      <c r="X8" s="692"/>
      <c r="Z8" s="692" t="s">
        <v>723</v>
      </c>
      <c r="AA8" s="692"/>
    </row>
    <row r="9" spans="2:31" s="3" customFormat="1" ht="5.0999999999999996" customHeight="1" x14ac:dyDescent="0.2">
      <c r="C9" s="4"/>
    </row>
    <row r="10" spans="2:31" s="3" customFormat="1" ht="30" customHeight="1" x14ac:dyDescent="0.2">
      <c r="B10" s="476" t="s">
        <v>128</v>
      </c>
      <c r="C10" s="459"/>
      <c r="D10" s="459"/>
      <c r="E10" s="477"/>
      <c r="G10" s="476" t="s">
        <v>129</v>
      </c>
      <c r="H10" s="459"/>
      <c r="I10" s="459"/>
      <c r="J10" s="459"/>
      <c r="K10" s="459"/>
      <c r="L10" s="477"/>
      <c r="N10" s="1141">
        <f>CADASTRO!AB42*110%</f>
        <v>62.7</v>
      </c>
      <c r="O10" s="1141"/>
      <c r="P10" s="25"/>
      <c r="Q10" s="1142">
        <v>30</v>
      </c>
      <c r="R10" s="1143"/>
      <c r="S10" s="266"/>
      <c r="T10" s="1144">
        <f>Q10/N10</f>
        <v>0.4784688995215311</v>
      </c>
      <c r="U10" s="1145"/>
      <c r="W10" s="1146">
        <f>' POP. ALVO'!W9</f>
        <v>1</v>
      </c>
      <c r="X10" s="1146"/>
      <c r="Z10" s="1140">
        <f>N10*W10</f>
        <v>62.7</v>
      </c>
      <c r="AA10" s="1140"/>
    </row>
    <row r="11" spans="2:31" s="3" customFormat="1" ht="36.75" customHeight="1" x14ac:dyDescent="0.2">
      <c r="B11" s="476" t="s">
        <v>613</v>
      </c>
      <c r="C11" s="459"/>
      <c r="D11" s="459"/>
      <c r="E11" s="477"/>
      <c r="G11" s="476" t="s">
        <v>130</v>
      </c>
      <c r="H11" s="459"/>
      <c r="I11" s="459"/>
      <c r="J11" s="459"/>
      <c r="K11" s="459"/>
      <c r="L11" s="477"/>
      <c r="N11" s="1141">
        <f>N10*85%</f>
        <v>53.295000000000002</v>
      </c>
      <c r="O11" s="1141"/>
      <c r="P11" s="25"/>
      <c r="Q11" s="1149">
        <v>25</v>
      </c>
      <c r="R11" s="1150"/>
      <c r="S11" s="266"/>
      <c r="T11" s="1144">
        <f>Q11/N11</f>
        <v>0.46908715639365794</v>
      </c>
      <c r="U11" s="1145"/>
      <c r="W11" s="1146">
        <f>' POP. ALVO'!W10</f>
        <v>1</v>
      </c>
      <c r="X11" s="1146"/>
      <c r="Z11" s="1140">
        <f>N11*W11</f>
        <v>53.295000000000002</v>
      </c>
      <c r="AA11" s="1140"/>
    </row>
    <row r="12" spans="2:31" s="3" customFormat="1" ht="30" customHeight="1" x14ac:dyDescent="0.2">
      <c r="B12" s="476" t="s">
        <v>131</v>
      </c>
      <c r="C12" s="459"/>
      <c r="D12" s="459"/>
      <c r="E12" s="477"/>
      <c r="G12" s="476" t="s">
        <v>132</v>
      </c>
      <c r="H12" s="459"/>
      <c r="I12" s="459"/>
      <c r="J12" s="459"/>
      <c r="K12" s="459"/>
      <c r="L12" s="477"/>
      <c r="N12" s="1141">
        <f>N10*15%</f>
        <v>9.4049999999999994</v>
      </c>
      <c r="O12" s="1141"/>
      <c r="P12" s="25"/>
      <c r="Q12" s="1147">
        <v>5</v>
      </c>
      <c r="R12" s="1148"/>
      <c r="S12" s="266"/>
      <c r="T12" s="1144">
        <f>Q12/N12</f>
        <v>0.53163211057947901</v>
      </c>
      <c r="U12" s="1145"/>
      <c r="W12" s="1146">
        <f>' POP. ALVO'!W11</f>
        <v>1</v>
      </c>
      <c r="X12" s="1146"/>
      <c r="Z12" s="1140">
        <f>N12*W12</f>
        <v>9.4049999999999994</v>
      </c>
      <c r="AA12" s="1140"/>
    </row>
    <row r="13" spans="2:31" s="192" customFormat="1" ht="14.25" customHeight="1" x14ac:dyDescent="0.2">
      <c r="B13" s="1151" t="s">
        <v>588</v>
      </c>
      <c r="C13" s="1151"/>
      <c r="D13" s="1151"/>
      <c r="E13" s="1151"/>
      <c r="F13" s="1151"/>
      <c r="G13" s="1151"/>
      <c r="H13" s="1151"/>
      <c r="I13" s="1151"/>
      <c r="J13" s="1151"/>
      <c r="K13" s="1151"/>
      <c r="L13" s="1151"/>
      <c r="M13" s="1151"/>
      <c r="N13" s="1151"/>
      <c r="O13" s="1151"/>
      <c r="P13" s="1151"/>
      <c r="Q13" s="1151"/>
      <c r="R13" s="1151"/>
      <c r="S13" s="1151"/>
    </row>
    <row r="14" spans="2:31" x14ac:dyDescent="0.2">
      <c r="W14" s="267"/>
    </row>
    <row r="15" spans="2:31" ht="21.75" customHeight="1" x14ac:dyDescent="0.2">
      <c r="I15" s="1152" t="s">
        <v>590</v>
      </c>
      <c r="J15" s="1153"/>
      <c r="K15" s="1153"/>
      <c r="L15" s="1153"/>
      <c r="M15" s="1153"/>
      <c r="N15" s="1153"/>
      <c r="O15" s="1153"/>
      <c r="P15" s="1153"/>
      <c r="Q15" s="1153"/>
      <c r="R15" s="1153"/>
      <c r="S15" s="1153"/>
      <c r="T15" s="1153"/>
      <c r="U15" s="1153"/>
      <c r="V15" s="1153"/>
      <c r="W15" s="1153"/>
      <c r="X15" s="1154"/>
      <c r="Y15" s="268"/>
    </row>
    <row r="16" spans="2:31" ht="25.5" customHeight="1" x14ac:dyDescent="0.2">
      <c r="I16" s="1155" t="s">
        <v>4</v>
      </c>
      <c r="J16" s="1155"/>
      <c r="K16" s="1155"/>
      <c r="L16" s="1155"/>
      <c r="M16" s="1156" t="s">
        <v>614</v>
      </c>
      <c r="N16" s="1156"/>
      <c r="O16" s="1156"/>
      <c r="P16" s="1156"/>
      <c r="Q16" s="1157" t="s">
        <v>230</v>
      </c>
      <c r="R16" s="1157"/>
      <c r="S16" s="1157"/>
      <c r="T16" s="1157"/>
      <c r="U16" s="1157" t="s">
        <v>707</v>
      </c>
      <c r="V16" s="1157"/>
      <c r="W16" s="1157"/>
      <c r="X16" s="1157"/>
    </row>
    <row r="17" spans="2:30" ht="15" customHeight="1" x14ac:dyDescent="0.2">
      <c r="I17" s="1158">
        <f>' POP. ALVO'!Z9</f>
        <v>60</v>
      </c>
      <c r="J17" s="1158"/>
      <c r="K17" s="1158"/>
      <c r="L17" s="1158"/>
      <c r="M17" s="1158">
        <f>' POP. ALVO'!Z10</f>
        <v>50</v>
      </c>
      <c r="N17" s="1158"/>
      <c r="O17" s="1158"/>
      <c r="P17" s="1158"/>
      <c r="Q17" s="1158">
        <f>' POP. ALVO'!Z11</f>
        <v>9</v>
      </c>
      <c r="R17" s="1158"/>
      <c r="S17" s="1158"/>
      <c r="T17" s="1158"/>
      <c r="U17" s="1158"/>
      <c r="V17" s="1158"/>
      <c r="W17" s="1158"/>
      <c r="X17" s="1158"/>
    </row>
    <row r="18" spans="2:30" x14ac:dyDescent="0.2">
      <c r="I18" s="1158"/>
      <c r="J18" s="1158"/>
      <c r="K18" s="1158"/>
      <c r="L18" s="1158"/>
      <c r="M18" s="1158"/>
      <c r="N18" s="1158"/>
      <c r="O18" s="1158"/>
      <c r="P18" s="1158"/>
      <c r="Q18" s="1158"/>
      <c r="R18" s="1158"/>
      <c r="S18" s="1158"/>
      <c r="T18" s="1158"/>
      <c r="U18" s="1158"/>
      <c r="V18" s="1158"/>
      <c r="W18" s="1158"/>
      <c r="X18" s="1158"/>
    </row>
    <row r="19" spans="2:30" x14ac:dyDescent="0.2">
      <c r="I19" s="236"/>
      <c r="J19" s="236"/>
      <c r="K19" s="236"/>
      <c r="L19" s="236"/>
      <c r="M19" s="236"/>
      <c r="N19" s="236"/>
      <c r="O19" s="236"/>
      <c r="P19" s="236"/>
      <c r="Q19" s="236"/>
      <c r="R19" s="236"/>
      <c r="S19" s="236"/>
      <c r="T19" s="236"/>
    </row>
    <row r="21" spans="2:30" ht="15" customHeight="1" x14ac:dyDescent="0.25">
      <c r="B21" s="245" t="s">
        <v>569</v>
      </c>
    </row>
    <row r="24" spans="2:30" s="3" customFormat="1" ht="15.75" customHeight="1" x14ac:dyDescent="0.2">
      <c r="D24" s="11"/>
      <c r="E24" s="11"/>
      <c r="F24" s="817" t="s">
        <v>126</v>
      </c>
      <c r="G24" s="818"/>
      <c r="H24" s="818"/>
      <c r="I24" s="818"/>
      <c r="J24" s="818"/>
      <c r="K24" s="818"/>
      <c r="L24" s="818"/>
      <c r="M24" s="818"/>
      <c r="N24" s="818"/>
      <c r="O24" s="818"/>
      <c r="P24" s="818"/>
      <c r="Q24" s="818"/>
      <c r="R24" s="818"/>
      <c r="S24" s="818"/>
      <c r="T24" s="819"/>
      <c r="U24" s="20"/>
      <c r="V24" s="406" t="s">
        <v>621</v>
      </c>
      <c r="W24" s="406"/>
      <c r="X24" s="406"/>
      <c r="Y24" s="406"/>
      <c r="Z24" s="406"/>
      <c r="AA24" s="406"/>
      <c r="AB24" s="406"/>
      <c r="AC24" s="406"/>
      <c r="AD24" s="406"/>
    </row>
    <row r="25" spans="2:30" s="3" customFormat="1" ht="5.0999999999999996" customHeight="1" x14ac:dyDescent="0.2">
      <c r="C25" s="4"/>
    </row>
    <row r="26" spans="2:30" s="3" customFormat="1" ht="21.95" customHeight="1" x14ac:dyDescent="0.2">
      <c r="D26" s="11"/>
      <c r="E26" s="11"/>
      <c r="F26" s="509" t="s">
        <v>144</v>
      </c>
      <c r="G26" s="509"/>
      <c r="H26" s="509"/>
      <c r="I26" s="509"/>
      <c r="J26" s="21"/>
      <c r="K26" s="1159" t="s">
        <v>145</v>
      </c>
      <c r="L26" s="1160"/>
      <c r="M26" s="1160"/>
      <c r="N26" s="1160"/>
      <c r="O26" s="1160"/>
      <c r="P26" s="1161"/>
      <c r="Q26" s="21"/>
      <c r="R26" s="509" t="s">
        <v>362</v>
      </c>
      <c r="S26" s="509"/>
      <c r="T26" s="509"/>
      <c r="U26" s="22"/>
      <c r="V26" s="407">
        <v>1</v>
      </c>
      <c r="W26" s="408"/>
      <c r="X26" s="409" t="s">
        <v>146</v>
      </c>
      <c r="Y26" s="409"/>
      <c r="Z26" s="409"/>
      <c r="AA26" s="409"/>
      <c r="AB26" s="409"/>
      <c r="AC26" s="409"/>
      <c r="AD26" s="410"/>
    </row>
    <row r="27" spans="2:30" s="3" customFormat="1" ht="21.95" customHeight="1" x14ac:dyDescent="0.2">
      <c r="D27" s="11"/>
      <c r="E27" s="11"/>
      <c r="F27" s="509"/>
      <c r="G27" s="509"/>
      <c r="H27" s="509"/>
      <c r="I27" s="509"/>
      <c r="J27" s="21"/>
      <c r="K27" s="493"/>
      <c r="L27" s="494"/>
      <c r="M27" s="494"/>
      <c r="N27" s="494"/>
      <c r="O27" s="494"/>
      <c r="P27" s="495"/>
      <c r="Q27" s="21"/>
      <c r="R27" s="509"/>
      <c r="S27" s="509"/>
      <c r="T27" s="509"/>
      <c r="U27" s="22"/>
      <c r="V27" s="407">
        <v>1</v>
      </c>
      <c r="W27" s="408"/>
      <c r="X27" s="409" t="s">
        <v>147</v>
      </c>
      <c r="Y27" s="409"/>
      <c r="Z27" s="409"/>
      <c r="AA27" s="409"/>
      <c r="AB27" s="409"/>
      <c r="AC27" s="409"/>
      <c r="AD27" s="410"/>
    </row>
    <row r="28" spans="2:30" s="3" customFormat="1" ht="48.75" customHeight="1" x14ac:dyDescent="0.2">
      <c r="D28" s="11"/>
      <c r="E28" s="11"/>
      <c r="F28" s="509"/>
      <c r="G28" s="509"/>
      <c r="H28" s="509"/>
      <c r="I28" s="509"/>
      <c r="J28" s="21"/>
      <c r="K28" s="1159" t="s">
        <v>616</v>
      </c>
      <c r="L28" s="1160"/>
      <c r="M28" s="1160"/>
      <c r="N28" s="1160"/>
      <c r="O28" s="1160"/>
      <c r="P28" s="1161"/>
      <c r="Q28" s="21"/>
      <c r="R28" s="509"/>
      <c r="S28" s="509"/>
      <c r="T28" s="509"/>
      <c r="U28" s="22"/>
      <c r="V28" s="407">
        <v>3</v>
      </c>
      <c r="W28" s="408"/>
      <c r="X28" s="409" t="s">
        <v>148</v>
      </c>
      <c r="Y28" s="409"/>
      <c r="Z28" s="409"/>
      <c r="AA28" s="409"/>
      <c r="AB28" s="409"/>
      <c r="AC28" s="409"/>
      <c r="AD28" s="410"/>
    </row>
    <row r="29" spans="2:30" s="3" customFormat="1" ht="36" customHeight="1" x14ac:dyDescent="0.2">
      <c r="D29" s="11"/>
      <c r="E29" s="11"/>
      <c r="F29" s="509"/>
      <c r="G29" s="509"/>
      <c r="H29" s="509"/>
      <c r="I29" s="509"/>
      <c r="J29" s="21"/>
      <c r="K29" s="493"/>
      <c r="L29" s="494"/>
      <c r="M29" s="494"/>
      <c r="N29" s="494"/>
      <c r="O29" s="494"/>
      <c r="P29" s="495"/>
      <c r="Q29" s="21"/>
      <c r="R29" s="509"/>
      <c r="S29" s="509"/>
      <c r="T29" s="509"/>
      <c r="U29" s="22"/>
      <c r="V29" s="407">
        <v>2</v>
      </c>
      <c r="W29" s="408"/>
      <c r="X29" s="409" t="s">
        <v>149</v>
      </c>
      <c r="Y29" s="409"/>
      <c r="Z29" s="409"/>
      <c r="AA29" s="409"/>
      <c r="AB29" s="409"/>
      <c r="AC29" s="409"/>
      <c r="AD29" s="410"/>
    </row>
    <row r="30" spans="2:30" s="3" customFormat="1" ht="42.75" customHeight="1" x14ac:dyDescent="0.2">
      <c r="D30" s="11"/>
      <c r="E30" s="11"/>
      <c r="F30" s="509"/>
      <c r="G30" s="509"/>
      <c r="H30" s="509"/>
      <c r="I30" s="509"/>
      <c r="K30" s="506" t="s">
        <v>440</v>
      </c>
      <c r="L30" s="507"/>
      <c r="M30" s="507"/>
      <c r="N30" s="507"/>
      <c r="O30" s="507"/>
      <c r="P30" s="508"/>
      <c r="R30" s="509"/>
      <c r="S30" s="509"/>
      <c r="T30" s="509"/>
      <c r="V30" s="407">
        <v>3</v>
      </c>
      <c r="W30" s="408"/>
      <c r="X30" s="409" t="s">
        <v>150</v>
      </c>
      <c r="Y30" s="409"/>
      <c r="Z30" s="409"/>
      <c r="AA30" s="409"/>
      <c r="AB30" s="409"/>
      <c r="AC30" s="409"/>
      <c r="AD30" s="410"/>
    </row>
    <row r="31" spans="2:30" s="3" customFormat="1" ht="42.75" customHeight="1" x14ac:dyDescent="0.2">
      <c r="D31" s="11"/>
      <c r="E31" s="11"/>
      <c r="F31" s="509"/>
      <c r="G31" s="509"/>
      <c r="H31" s="509"/>
      <c r="I31" s="509"/>
      <c r="K31" s="478" t="s">
        <v>571</v>
      </c>
      <c r="L31" s="479"/>
      <c r="M31" s="479"/>
      <c r="N31" s="479"/>
      <c r="O31" s="479"/>
      <c r="P31" s="480"/>
      <c r="R31" s="509"/>
      <c r="S31" s="509"/>
      <c r="T31" s="509"/>
      <c r="V31" s="407">
        <v>9</v>
      </c>
      <c r="W31" s="408"/>
      <c r="X31" s="409" t="s">
        <v>442</v>
      </c>
      <c r="Y31" s="409"/>
      <c r="Z31" s="409"/>
      <c r="AA31" s="409"/>
      <c r="AB31" s="409"/>
      <c r="AC31" s="409"/>
      <c r="AD31" s="410"/>
    </row>
    <row r="32" spans="2:30" s="3" customFormat="1" ht="54.75" customHeight="1" x14ac:dyDescent="0.2">
      <c r="C32" s="4"/>
      <c r="F32" s="509"/>
      <c r="G32" s="509"/>
      <c r="H32" s="509"/>
      <c r="I32" s="509"/>
      <c r="K32" s="506" t="s">
        <v>617</v>
      </c>
      <c r="L32" s="507"/>
      <c r="M32" s="507"/>
      <c r="N32" s="507"/>
      <c r="O32" s="507"/>
      <c r="P32" s="508"/>
      <c r="R32" s="509"/>
      <c r="S32" s="509"/>
      <c r="T32" s="509"/>
      <c r="V32" s="407">
        <v>3</v>
      </c>
      <c r="W32" s="408"/>
      <c r="X32" s="409" t="s">
        <v>151</v>
      </c>
      <c r="Y32" s="409"/>
      <c r="Z32" s="409"/>
      <c r="AA32" s="409"/>
      <c r="AB32" s="409"/>
      <c r="AC32" s="409"/>
      <c r="AD32" s="410"/>
    </row>
    <row r="33" spans="3:30" s="3" customFormat="1" ht="45" customHeight="1" x14ac:dyDescent="0.2">
      <c r="C33" s="4"/>
      <c r="F33" s="509" t="s">
        <v>152</v>
      </c>
      <c r="G33" s="509"/>
      <c r="H33" s="509"/>
      <c r="I33" s="509"/>
      <c r="K33" s="506" t="s">
        <v>153</v>
      </c>
      <c r="L33" s="507"/>
      <c r="M33" s="507"/>
      <c r="N33" s="507"/>
      <c r="O33" s="507"/>
      <c r="P33" s="508"/>
      <c r="R33" s="509"/>
      <c r="S33" s="509"/>
      <c r="T33" s="509"/>
      <c r="V33" s="424">
        <v>1</v>
      </c>
      <c r="W33" s="425"/>
      <c r="X33" s="409" t="s">
        <v>154</v>
      </c>
      <c r="Y33" s="409"/>
      <c r="Z33" s="409"/>
      <c r="AA33" s="409"/>
      <c r="AB33" s="409"/>
      <c r="AC33" s="409"/>
      <c r="AD33" s="410"/>
    </row>
    <row r="34" spans="3:30" s="3" customFormat="1" ht="53.25" customHeight="1" x14ac:dyDescent="0.2">
      <c r="C34" s="4"/>
      <c r="F34" s="509"/>
      <c r="G34" s="509"/>
      <c r="H34" s="509"/>
      <c r="I34" s="509"/>
      <c r="K34" s="506" t="s">
        <v>155</v>
      </c>
      <c r="L34" s="507"/>
      <c r="M34" s="507"/>
      <c r="N34" s="507"/>
      <c r="O34" s="507"/>
      <c r="P34" s="508"/>
      <c r="R34" s="509"/>
      <c r="S34" s="509"/>
      <c r="T34" s="509"/>
      <c r="V34" s="424">
        <v>1</v>
      </c>
      <c r="W34" s="425"/>
      <c r="X34" s="409" t="s">
        <v>156</v>
      </c>
      <c r="Y34" s="409"/>
      <c r="Z34" s="409"/>
      <c r="AA34" s="409"/>
      <c r="AB34" s="409"/>
      <c r="AC34" s="409"/>
      <c r="AD34" s="410"/>
    </row>
    <row r="35" spans="3:30" s="3" customFormat="1" ht="30" customHeight="1" x14ac:dyDescent="0.2">
      <c r="C35" s="4"/>
      <c r="F35" s="509"/>
      <c r="G35" s="509"/>
      <c r="H35" s="509"/>
      <c r="I35" s="509"/>
      <c r="K35" s="506" t="s">
        <v>157</v>
      </c>
      <c r="L35" s="507"/>
      <c r="M35" s="507"/>
      <c r="N35" s="507"/>
      <c r="O35" s="507"/>
      <c r="P35" s="508"/>
      <c r="R35" s="509"/>
      <c r="S35" s="509"/>
      <c r="T35" s="509"/>
      <c r="V35" s="424">
        <v>1</v>
      </c>
      <c r="W35" s="425"/>
      <c r="X35" s="409" t="s">
        <v>158</v>
      </c>
      <c r="Y35" s="409"/>
      <c r="Z35" s="409"/>
      <c r="AA35" s="409"/>
      <c r="AB35" s="409"/>
      <c r="AC35" s="409"/>
      <c r="AD35" s="410"/>
    </row>
    <row r="36" spans="3:30" s="3" customFormat="1" ht="57" customHeight="1" x14ac:dyDescent="0.2">
      <c r="C36" s="4"/>
      <c r="F36" s="509"/>
      <c r="G36" s="509"/>
      <c r="H36" s="509"/>
      <c r="I36" s="509"/>
      <c r="K36" s="506" t="s">
        <v>159</v>
      </c>
      <c r="L36" s="507"/>
      <c r="M36" s="507"/>
      <c r="N36" s="507"/>
      <c r="O36" s="507"/>
      <c r="P36" s="508"/>
      <c r="R36" s="509"/>
      <c r="S36" s="509"/>
      <c r="T36" s="509"/>
      <c r="V36" s="424">
        <v>1</v>
      </c>
      <c r="W36" s="425"/>
      <c r="X36" s="409" t="s">
        <v>160</v>
      </c>
      <c r="Y36" s="409"/>
      <c r="Z36" s="409"/>
      <c r="AA36" s="409"/>
      <c r="AB36" s="409"/>
      <c r="AC36" s="409"/>
      <c r="AD36" s="410"/>
    </row>
    <row r="37" spans="3:30" s="3" customFormat="1" ht="39.75" customHeight="1" x14ac:dyDescent="0.2">
      <c r="C37" s="4"/>
      <c r="F37" s="509"/>
      <c r="G37" s="509"/>
      <c r="H37" s="509"/>
      <c r="I37" s="509"/>
      <c r="K37" s="478" t="s">
        <v>161</v>
      </c>
      <c r="L37" s="479"/>
      <c r="M37" s="479"/>
      <c r="N37" s="479"/>
      <c r="O37" s="479"/>
      <c r="P37" s="480"/>
      <c r="R37" s="509"/>
      <c r="S37" s="509"/>
      <c r="T37" s="509"/>
      <c r="V37" s="424">
        <v>1</v>
      </c>
      <c r="W37" s="425"/>
      <c r="X37" s="409" t="s">
        <v>162</v>
      </c>
      <c r="Y37" s="409"/>
      <c r="Z37" s="409"/>
      <c r="AA37" s="409"/>
      <c r="AB37" s="409"/>
      <c r="AC37" s="409"/>
      <c r="AD37" s="410"/>
    </row>
    <row r="38" spans="3:30" s="3" customFormat="1" ht="21.95" customHeight="1" x14ac:dyDescent="0.2">
      <c r="C38" s="4"/>
      <c r="F38" s="509" t="s">
        <v>163</v>
      </c>
      <c r="G38" s="509"/>
      <c r="H38" s="509"/>
      <c r="I38" s="509"/>
      <c r="K38" s="1162" t="s">
        <v>164</v>
      </c>
      <c r="L38" s="1163"/>
      <c r="M38" s="1163"/>
      <c r="N38" s="1163"/>
      <c r="O38" s="1163"/>
      <c r="P38" s="1164"/>
      <c r="R38" s="509"/>
      <c r="S38" s="509"/>
      <c r="T38" s="509"/>
      <c r="V38" s="407">
        <v>2</v>
      </c>
      <c r="W38" s="408"/>
      <c r="X38" s="409" t="s">
        <v>618</v>
      </c>
      <c r="Y38" s="409"/>
      <c r="Z38" s="409"/>
      <c r="AA38" s="409"/>
      <c r="AB38" s="409"/>
      <c r="AC38" s="409"/>
      <c r="AD38" s="410"/>
    </row>
    <row r="39" spans="3:30" s="3" customFormat="1" ht="21.95" customHeight="1" x14ac:dyDescent="0.2">
      <c r="C39" s="4"/>
      <c r="F39" s="509"/>
      <c r="G39" s="509"/>
      <c r="H39" s="509"/>
      <c r="I39" s="509"/>
      <c r="K39" s="1165"/>
      <c r="L39" s="1166"/>
      <c r="M39" s="1166"/>
      <c r="N39" s="1166"/>
      <c r="O39" s="1166"/>
      <c r="P39" s="1167"/>
      <c r="R39" s="509"/>
      <c r="S39" s="509"/>
      <c r="T39" s="509"/>
      <c r="V39" s="407">
        <v>2</v>
      </c>
      <c r="W39" s="408"/>
      <c r="X39" s="409" t="s">
        <v>165</v>
      </c>
      <c r="Y39" s="409"/>
      <c r="Z39" s="409"/>
      <c r="AA39" s="409"/>
      <c r="AB39" s="409"/>
      <c r="AC39" s="409"/>
      <c r="AD39" s="410"/>
    </row>
    <row r="40" spans="3:30" s="3" customFormat="1" ht="15.75" customHeight="1" x14ac:dyDescent="0.2">
      <c r="C40" s="4"/>
      <c r="V40" s="426" t="s">
        <v>303</v>
      </c>
      <c r="W40" s="426"/>
      <c r="X40" s="426"/>
      <c r="Y40" s="426"/>
      <c r="Z40" s="426"/>
      <c r="AA40" s="426"/>
      <c r="AB40" s="426"/>
      <c r="AC40" s="426"/>
      <c r="AD40" s="426"/>
    </row>
    <row r="41" spans="3:30" s="3" customFormat="1" ht="15.75" x14ac:dyDescent="0.2">
      <c r="C41" s="4"/>
      <c r="V41" s="426"/>
      <c r="W41" s="426"/>
      <c r="X41" s="426"/>
      <c r="Y41" s="426"/>
      <c r="Z41" s="426"/>
      <c r="AA41" s="426"/>
      <c r="AB41" s="426"/>
      <c r="AC41" s="426"/>
      <c r="AD41" s="426"/>
    </row>
    <row r="42" spans="3:30" s="3" customFormat="1" ht="15.75" x14ac:dyDescent="0.2">
      <c r="C42" s="4"/>
      <c r="V42" s="426"/>
      <c r="W42" s="426"/>
      <c r="X42" s="426"/>
      <c r="Y42" s="426"/>
      <c r="Z42" s="426"/>
      <c r="AA42" s="426"/>
      <c r="AB42" s="426"/>
      <c r="AC42" s="426"/>
      <c r="AD42" s="426"/>
    </row>
    <row r="43" spans="3:30" s="3" customFormat="1" ht="15.75" x14ac:dyDescent="0.2">
      <c r="C43" s="4"/>
      <c r="D43" s="386"/>
      <c r="E43" s="386" t="s">
        <v>141</v>
      </c>
      <c r="F43" s="3" t="s">
        <v>166</v>
      </c>
    </row>
    <row r="44" spans="3:30" s="3" customFormat="1" ht="15.75" customHeight="1" x14ac:dyDescent="0.2">
      <c r="D44" s="11"/>
      <c r="E44" s="11"/>
    </row>
    <row r="45" spans="3:30" s="3" customFormat="1" ht="45" customHeight="1" x14ac:dyDescent="0.2">
      <c r="C45" s="4"/>
      <c r="F45" s="509" t="s">
        <v>167</v>
      </c>
      <c r="G45" s="509"/>
      <c r="H45" s="509"/>
      <c r="I45" s="509"/>
      <c r="K45" s="476" t="s">
        <v>624</v>
      </c>
      <c r="L45" s="459"/>
      <c r="M45" s="459"/>
      <c r="N45" s="459"/>
      <c r="O45" s="459"/>
      <c r="P45" s="477"/>
      <c r="R45" s="509" t="s">
        <v>363</v>
      </c>
      <c r="S45" s="1168"/>
      <c r="T45" s="1168"/>
      <c r="V45" s="887">
        <v>1</v>
      </c>
      <c r="W45" s="888"/>
      <c r="X45" s="409" t="s">
        <v>622</v>
      </c>
      <c r="Y45" s="409"/>
      <c r="Z45" s="409"/>
      <c r="AA45" s="409"/>
      <c r="AB45" s="409"/>
      <c r="AC45" s="409"/>
      <c r="AD45" s="410"/>
    </row>
    <row r="46" spans="3:30" s="3" customFormat="1" ht="55.5" customHeight="1" x14ac:dyDescent="0.2">
      <c r="C46" s="4"/>
      <c r="F46" s="509"/>
      <c r="G46" s="509"/>
      <c r="H46" s="509"/>
      <c r="I46" s="509"/>
      <c r="K46" s="476" t="s">
        <v>168</v>
      </c>
      <c r="L46" s="459"/>
      <c r="M46" s="459"/>
      <c r="N46" s="459"/>
      <c r="O46" s="459"/>
      <c r="P46" s="477"/>
      <c r="R46" s="1168"/>
      <c r="S46" s="1168"/>
      <c r="T46" s="1168"/>
      <c r="V46" s="887">
        <v>1</v>
      </c>
      <c r="W46" s="888"/>
      <c r="X46" s="409" t="s">
        <v>160</v>
      </c>
      <c r="Y46" s="409"/>
      <c r="Z46" s="409"/>
      <c r="AA46" s="409"/>
      <c r="AB46" s="409"/>
      <c r="AC46" s="409"/>
      <c r="AD46" s="410"/>
    </row>
    <row r="49" spans="3:30" s="3" customFormat="1" ht="15.75" x14ac:dyDescent="0.2">
      <c r="C49" s="4"/>
      <c r="D49" s="386"/>
      <c r="E49" s="386" t="s">
        <v>141</v>
      </c>
      <c r="F49" s="3" t="s">
        <v>169</v>
      </c>
      <c r="M49" s="32"/>
      <c r="N49" s="33"/>
      <c r="O49" s="34"/>
      <c r="P49" s="34"/>
      <c r="Q49" s="34"/>
      <c r="R49" s="34"/>
      <c r="S49" s="34"/>
    </row>
    <row r="50" spans="3:30" s="3" customFormat="1" ht="12.75" customHeight="1" x14ac:dyDescent="0.2">
      <c r="C50" s="4"/>
      <c r="W50" s="7"/>
      <c r="AB50" s="7"/>
      <c r="AC50" s="7"/>
      <c r="AD50" s="7"/>
    </row>
    <row r="51" spans="3:30" s="3" customFormat="1" ht="15.75" customHeight="1" x14ac:dyDescent="0.2">
      <c r="D51" s="18"/>
      <c r="E51" s="18"/>
      <c r="F51" s="1169" t="s">
        <v>170</v>
      </c>
      <c r="G51" s="1169"/>
      <c r="H51" s="1169"/>
      <c r="J51" s="476" t="s">
        <v>74</v>
      </c>
      <c r="K51" s="459"/>
      <c r="L51" s="459"/>
      <c r="M51" s="459"/>
      <c r="N51" s="459"/>
      <c r="O51" s="477"/>
      <c r="P51" s="35">
        <v>3</v>
      </c>
      <c r="Q51" s="409" t="s">
        <v>171</v>
      </c>
      <c r="R51" s="409"/>
      <c r="S51" s="410"/>
      <c r="U51" s="1172" t="s">
        <v>570</v>
      </c>
      <c r="V51" s="1172"/>
      <c r="W51" s="7"/>
      <c r="X51" s="269">
        <v>3</v>
      </c>
      <c r="Y51" s="409" t="s">
        <v>171</v>
      </c>
      <c r="Z51" s="409"/>
      <c r="AA51" s="410"/>
      <c r="AC51" s="7"/>
      <c r="AD51" s="7"/>
    </row>
    <row r="52" spans="3:30" s="3" customFormat="1" ht="15.75" customHeight="1" x14ac:dyDescent="0.2">
      <c r="D52" s="18"/>
      <c r="E52" s="18"/>
      <c r="F52" s="1170"/>
      <c r="G52" s="1170"/>
      <c r="H52" s="1170"/>
      <c r="J52" s="476" t="s">
        <v>76</v>
      </c>
      <c r="K52" s="459"/>
      <c r="L52" s="459"/>
      <c r="M52" s="459"/>
      <c r="N52" s="459"/>
      <c r="O52" s="477"/>
      <c r="P52" s="35">
        <v>1</v>
      </c>
      <c r="Q52" s="409" t="s">
        <v>171</v>
      </c>
      <c r="R52" s="409"/>
      <c r="S52" s="410"/>
      <c r="U52" s="1173"/>
      <c r="V52" s="1173"/>
      <c r="W52" s="7"/>
      <c r="X52" s="269">
        <v>1</v>
      </c>
      <c r="Y52" s="409" t="s">
        <v>171</v>
      </c>
      <c r="Z52" s="409"/>
      <c r="AA52" s="410"/>
      <c r="AC52" s="7"/>
      <c r="AD52" s="7"/>
    </row>
    <row r="53" spans="3:30" s="3" customFormat="1" ht="15.75" customHeight="1" x14ac:dyDescent="0.2">
      <c r="D53" s="18"/>
      <c r="E53" s="18"/>
      <c r="F53" s="1170"/>
      <c r="G53" s="1170"/>
      <c r="H53" s="1170"/>
      <c r="I53" s="7"/>
      <c r="J53" s="476" t="s">
        <v>77</v>
      </c>
      <c r="K53" s="459"/>
      <c r="L53" s="459"/>
      <c r="M53" s="459"/>
      <c r="N53" s="459"/>
      <c r="O53" s="477"/>
      <c r="P53" s="35">
        <v>1</v>
      </c>
      <c r="Q53" s="409" t="s">
        <v>171</v>
      </c>
      <c r="R53" s="409"/>
      <c r="S53" s="410"/>
      <c r="U53" s="1173"/>
      <c r="V53" s="1173"/>
      <c r="W53" s="7"/>
      <c r="X53" s="269">
        <v>1</v>
      </c>
      <c r="Y53" s="409" t="s">
        <v>171</v>
      </c>
      <c r="Z53" s="409"/>
      <c r="AA53" s="410"/>
      <c r="AC53" s="7"/>
      <c r="AD53" s="7"/>
    </row>
    <row r="54" spans="3:30" s="3" customFormat="1" ht="15.75" customHeight="1" x14ac:dyDescent="0.2">
      <c r="D54" s="18"/>
      <c r="E54" s="18"/>
      <c r="F54" s="1170"/>
      <c r="G54" s="1170"/>
      <c r="H54" s="1170"/>
      <c r="I54" s="7"/>
      <c r="J54" s="476" t="s">
        <v>172</v>
      </c>
      <c r="K54" s="459"/>
      <c r="L54" s="459"/>
      <c r="M54" s="459"/>
      <c r="N54" s="459"/>
      <c r="O54" s="477"/>
      <c r="P54" s="35">
        <v>1</v>
      </c>
      <c r="Q54" s="409" t="s">
        <v>171</v>
      </c>
      <c r="R54" s="409"/>
      <c r="S54" s="410"/>
      <c r="U54" s="1173"/>
      <c r="V54" s="1173"/>
      <c r="W54" s="36"/>
      <c r="X54" s="269">
        <v>1</v>
      </c>
      <c r="Y54" s="409" t="s">
        <v>171</v>
      </c>
      <c r="Z54" s="409"/>
      <c r="AA54" s="410"/>
      <c r="AC54" s="7"/>
      <c r="AD54" s="7"/>
    </row>
    <row r="55" spans="3:30" s="3" customFormat="1" ht="15.75" customHeight="1" x14ac:dyDescent="0.2">
      <c r="D55" s="18"/>
      <c r="E55" s="18"/>
      <c r="F55" s="1170"/>
      <c r="G55" s="1170"/>
      <c r="H55" s="1170"/>
      <c r="I55" s="7"/>
      <c r="J55" s="476" t="s">
        <v>79</v>
      </c>
      <c r="K55" s="459"/>
      <c r="L55" s="459"/>
      <c r="M55" s="459"/>
      <c r="N55" s="459"/>
      <c r="O55" s="477"/>
      <c r="P55" s="35">
        <v>1</v>
      </c>
      <c r="Q55" s="409" t="s">
        <v>171</v>
      </c>
      <c r="R55" s="409"/>
      <c r="S55" s="410"/>
      <c r="U55" s="1173"/>
      <c r="V55" s="1173"/>
      <c r="W55" s="36"/>
      <c r="X55" s="269">
        <v>1</v>
      </c>
      <c r="Y55" s="409" t="s">
        <v>171</v>
      </c>
      <c r="Z55" s="409"/>
      <c r="AA55" s="410"/>
      <c r="AC55" s="7"/>
      <c r="AD55" s="7"/>
    </row>
    <row r="56" spans="3:30" s="3" customFormat="1" ht="15.75" customHeight="1" x14ac:dyDescent="0.2">
      <c r="D56" s="18"/>
      <c r="E56" s="18"/>
      <c r="F56" s="1170"/>
      <c r="G56" s="1170"/>
      <c r="H56" s="1170"/>
      <c r="I56" s="7"/>
      <c r="J56" s="476" t="s">
        <v>80</v>
      </c>
      <c r="K56" s="459"/>
      <c r="L56" s="459"/>
      <c r="M56" s="459"/>
      <c r="N56" s="459"/>
      <c r="O56" s="477"/>
      <c r="P56" s="35">
        <v>2</v>
      </c>
      <c r="Q56" s="409" t="s">
        <v>171</v>
      </c>
      <c r="R56" s="409"/>
      <c r="S56" s="410"/>
      <c r="U56" s="1173"/>
      <c r="V56" s="1173"/>
      <c r="W56" s="36"/>
      <c r="X56" s="269">
        <v>2</v>
      </c>
      <c r="Y56" s="409" t="s">
        <v>171</v>
      </c>
      <c r="Z56" s="409"/>
      <c r="AA56" s="410"/>
      <c r="AC56" s="7"/>
      <c r="AD56" s="7"/>
    </row>
    <row r="57" spans="3:30" s="3" customFormat="1" ht="15.75" customHeight="1" x14ac:dyDescent="0.2">
      <c r="D57" s="18"/>
      <c r="E57" s="18"/>
      <c r="F57" s="1170"/>
      <c r="G57" s="1170"/>
      <c r="H57" s="1170"/>
      <c r="I57" s="7"/>
      <c r="J57" s="476" t="s">
        <v>173</v>
      </c>
      <c r="K57" s="459"/>
      <c r="L57" s="459"/>
      <c r="M57" s="459"/>
      <c r="N57" s="459"/>
      <c r="O57" s="477"/>
      <c r="P57" s="35">
        <v>1</v>
      </c>
      <c r="Q57" s="409" t="s">
        <v>171</v>
      </c>
      <c r="R57" s="409"/>
      <c r="S57" s="410"/>
      <c r="U57" s="1173"/>
      <c r="V57" s="1173"/>
      <c r="W57" s="36"/>
      <c r="X57" s="269">
        <v>1</v>
      </c>
      <c r="Y57" s="409" t="s">
        <v>171</v>
      </c>
      <c r="Z57" s="409"/>
      <c r="AA57" s="410"/>
      <c r="AC57" s="7"/>
      <c r="AD57" s="7"/>
    </row>
    <row r="58" spans="3:30" s="3" customFormat="1" ht="15.75" customHeight="1" x14ac:dyDescent="0.2">
      <c r="D58" s="18"/>
      <c r="E58" s="18"/>
      <c r="F58" s="1170"/>
      <c r="G58" s="1170"/>
      <c r="H58" s="1170"/>
      <c r="I58" s="7"/>
      <c r="J58" s="476" t="s">
        <v>174</v>
      </c>
      <c r="K58" s="459"/>
      <c r="L58" s="459"/>
      <c r="M58" s="459"/>
      <c r="N58" s="459"/>
      <c r="O58" s="477"/>
      <c r="P58" s="35">
        <v>2</v>
      </c>
      <c r="Q58" s="409" t="s">
        <v>171</v>
      </c>
      <c r="R58" s="409"/>
      <c r="S58" s="410"/>
      <c r="U58" s="1173"/>
      <c r="V58" s="1173"/>
      <c r="W58" s="36"/>
      <c r="X58" s="269">
        <v>2</v>
      </c>
      <c r="Y58" s="409" t="s">
        <v>171</v>
      </c>
      <c r="Z58" s="409"/>
      <c r="AA58" s="410"/>
      <c r="AC58" s="7"/>
      <c r="AD58" s="7"/>
    </row>
    <row r="59" spans="3:30" s="3" customFormat="1" ht="15.75" customHeight="1" x14ac:dyDescent="0.2">
      <c r="D59" s="18"/>
      <c r="E59" s="18"/>
      <c r="F59" s="1170"/>
      <c r="G59" s="1170"/>
      <c r="H59" s="1170"/>
      <c r="I59" s="7"/>
      <c r="J59" s="476" t="s">
        <v>175</v>
      </c>
      <c r="K59" s="459"/>
      <c r="L59" s="459"/>
      <c r="M59" s="459"/>
      <c r="N59" s="459"/>
      <c r="O59" s="477"/>
      <c r="P59" s="35">
        <v>2</v>
      </c>
      <c r="Q59" s="409" t="s">
        <v>171</v>
      </c>
      <c r="R59" s="409"/>
      <c r="S59" s="410"/>
      <c r="U59" s="1173"/>
      <c r="V59" s="1173"/>
      <c r="W59" s="36"/>
      <c r="X59" s="269">
        <v>2</v>
      </c>
      <c r="Y59" s="409" t="s">
        <v>171</v>
      </c>
      <c r="Z59" s="409"/>
      <c r="AA59" s="410"/>
      <c r="AC59" s="7"/>
      <c r="AD59" s="7"/>
    </row>
    <row r="60" spans="3:30" s="3" customFormat="1" ht="15.75" customHeight="1" x14ac:dyDescent="0.2">
      <c r="D60" s="18"/>
      <c r="E60" s="18"/>
      <c r="F60" s="1170"/>
      <c r="G60" s="1170"/>
      <c r="H60" s="1170"/>
      <c r="I60" s="7"/>
      <c r="J60" s="476" t="s">
        <v>176</v>
      </c>
      <c r="K60" s="459"/>
      <c r="L60" s="459"/>
      <c r="M60" s="459"/>
      <c r="N60" s="459"/>
      <c r="O60" s="477"/>
      <c r="P60" s="35">
        <v>2</v>
      </c>
      <c r="Q60" s="409" t="s">
        <v>171</v>
      </c>
      <c r="R60" s="409"/>
      <c r="S60" s="410"/>
      <c r="U60" s="1173"/>
      <c r="V60" s="1173"/>
      <c r="W60" s="36"/>
      <c r="X60" s="269">
        <v>4</v>
      </c>
      <c r="Y60" s="409" t="s">
        <v>171</v>
      </c>
      <c r="Z60" s="409"/>
      <c r="AA60" s="410"/>
      <c r="AC60" s="7"/>
      <c r="AD60" s="7"/>
    </row>
    <row r="61" spans="3:30" s="3" customFormat="1" ht="15.75" customHeight="1" x14ac:dyDescent="0.2">
      <c r="D61" s="18"/>
      <c r="E61" s="18"/>
      <c r="F61" s="1170"/>
      <c r="G61" s="1170"/>
      <c r="H61" s="1170"/>
      <c r="I61" s="7"/>
      <c r="J61" s="476" t="s">
        <v>177</v>
      </c>
      <c r="K61" s="459"/>
      <c r="L61" s="459"/>
      <c r="M61" s="459"/>
      <c r="N61" s="459"/>
      <c r="O61" s="477"/>
      <c r="P61" s="35">
        <v>2</v>
      </c>
      <c r="Q61" s="409" t="s">
        <v>171</v>
      </c>
      <c r="R61" s="409"/>
      <c r="S61" s="410"/>
      <c r="U61" s="1173"/>
      <c r="V61" s="1173"/>
      <c r="W61" s="36"/>
      <c r="X61" s="269">
        <v>2</v>
      </c>
      <c r="Y61" s="409" t="s">
        <v>171</v>
      </c>
      <c r="Z61" s="409"/>
      <c r="AA61" s="410"/>
      <c r="AC61" s="7"/>
      <c r="AD61" s="7"/>
    </row>
    <row r="62" spans="3:30" s="3" customFormat="1" ht="15.75" customHeight="1" x14ac:dyDescent="0.2">
      <c r="D62" s="18"/>
      <c r="E62" s="18"/>
      <c r="F62" s="1170"/>
      <c r="G62" s="1170"/>
      <c r="H62" s="1170"/>
      <c r="I62" s="7"/>
      <c r="J62" s="476" t="s">
        <v>73</v>
      </c>
      <c r="K62" s="459"/>
      <c r="L62" s="459"/>
      <c r="M62" s="459"/>
      <c r="N62" s="459"/>
      <c r="O62" s="477"/>
      <c r="P62" s="35">
        <v>2</v>
      </c>
      <c r="Q62" s="409" t="s">
        <v>171</v>
      </c>
      <c r="R62" s="409"/>
      <c r="S62" s="410"/>
      <c r="U62" s="1173"/>
      <c r="V62" s="1173"/>
      <c r="W62" s="36"/>
      <c r="X62" s="269">
        <v>2</v>
      </c>
      <c r="Y62" s="409" t="s">
        <v>171</v>
      </c>
      <c r="Z62" s="409"/>
      <c r="AA62" s="410"/>
      <c r="AC62" s="7"/>
      <c r="AD62" s="7"/>
    </row>
    <row r="63" spans="3:30" s="3" customFormat="1" ht="15.75" customHeight="1" x14ac:dyDescent="0.2">
      <c r="D63" s="18"/>
      <c r="E63" s="18"/>
      <c r="F63" s="1170"/>
      <c r="G63" s="1170"/>
      <c r="H63" s="1170"/>
      <c r="I63" s="7"/>
      <c r="J63" s="476" t="s">
        <v>82</v>
      </c>
      <c r="K63" s="459"/>
      <c r="L63" s="459"/>
      <c r="M63" s="459"/>
      <c r="N63" s="459"/>
      <c r="O63" s="477"/>
      <c r="P63" s="35">
        <v>2</v>
      </c>
      <c r="Q63" s="409" t="s">
        <v>171</v>
      </c>
      <c r="R63" s="409"/>
      <c r="S63" s="410"/>
      <c r="U63" s="1173"/>
      <c r="V63" s="1173"/>
      <c r="W63" s="36"/>
      <c r="X63" s="269">
        <v>2</v>
      </c>
      <c r="Y63" s="409" t="s">
        <v>171</v>
      </c>
      <c r="Z63" s="409"/>
      <c r="AA63" s="410"/>
      <c r="AC63" s="7"/>
      <c r="AD63" s="7"/>
    </row>
    <row r="64" spans="3:30" s="3" customFormat="1" ht="15.75" customHeight="1" x14ac:dyDescent="0.2">
      <c r="D64" s="18"/>
      <c r="E64" s="18"/>
      <c r="F64" s="1170"/>
      <c r="G64" s="1170"/>
      <c r="H64" s="1170"/>
      <c r="I64" s="7"/>
      <c r="J64" s="210"/>
      <c r="K64" s="210"/>
      <c r="L64" s="210"/>
      <c r="M64" s="210"/>
      <c r="N64" s="210"/>
      <c r="O64" s="210"/>
      <c r="U64" s="1173"/>
      <c r="V64" s="1173"/>
      <c r="W64" s="36"/>
      <c r="X64" s="36"/>
      <c r="Y64" s="36"/>
      <c r="Z64" s="36"/>
      <c r="AA64" s="36"/>
      <c r="AB64" s="36"/>
      <c r="AC64" s="7"/>
      <c r="AD64" s="7"/>
    </row>
    <row r="65" spans="3:32" s="3" customFormat="1" ht="15.75" customHeight="1" x14ac:dyDescent="0.2">
      <c r="D65" s="18"/>
      <c r="E65" s="18"/>
      <c r="F65" s="1170"/>
      <c r="G65" s="1170"/>
      <c r="H65" s="1170"/>
      <c r="I65" s="7"/>
      <c r="J65" s="476" t="s">
        <v>178</v>
      </c>
      <c r="K65" s="459"/>
      <c r="L65" s="459"/>
      <c r="M65" s="459"/>
      <c r="N65" s="459"/>
      <c r="O65" s="477"/>
      <c r="P65" s="35">
        <v>1</v>
      </c>
      <c r="Q65" s="409" t="s">
        <v>171</v>
      </c>
      <c r="R65" s="409"/>
      <c r="S65" s="410"/>
      <c r="T65" s="7"/>
      <c r="U65" s="1173"/>
      <c r="V65" s="1173"/>
      <c r="W65" s="7"/>
      <c r="X65" s="269">
        <v>1</v>
      </c>
      <c r="Y65" s="409" t="s">
        <v>171</v>
      </c>
      <c r="Z65" s="409"/>
      <c r="AA65" s="410"/>
      <c r="AB65" s="7"/>
      <c r="AC65" s="7"/>
      <c r="AD65" s="7"/>
    </row>
    <row r="66" spans="3:32" s="3" customFormat="1" ht="15.75" customHeight="1" x14ac:dyDescent="0.2">
      <c r="D66" s="18"/>
      <c r="E66" s="18"/>
      <c r="F66" s="1170"/>
      <c r="G66" s="1170"/>
      <c r="H66" s="1170"/>
      <c r="I66" s="7"/>
      <c r="J66" s="476" t="s">
        <v>179</v>
      </c>
      <c r="K66" s="459"/>
      <c r="L66" s="459"/>
      <c r="M66" s="459"/>
      <c r="N66" s="459"/>
      <c r="O66" s="477"/>
      <c r="P66" s="35">
        <v>1</v>
      </c>
      <c r="Q66" s="409" t="s">
        <v>171</v>
      </c>
      <c r="R66" s="409"/>
      <c r="S66" s="410"/>
      <c r="T66" s="7"/>
      <c r="U66" s="1173"/>
      <c r="V66" s="1173"/>
      <c r="W66" s="7"/>
      <c r="X66" s="269">
        <v>1</v>
      </c>
      <c r="Y66" s="409" t="s">
        <v>171</v>
      </c>
      <c r="Z66" s="409"/>
      <c r="AA66" s="410"/>
      <c r="AB66" s="7"/>
      <c r="AC66" s="7"/>
      <c r="AD66" s="7"/>
    </row>
    <row r="67" spans="3:32" s="3" customFormat="1" ht="15.75" customHeight="1" x14ac:dyDescent="0.2">
      <c r="D67" s="18"/>
      <c r="E67" s="18"/>
      <c r="F67" s="1170"/>
      <c r="G67" s="1170"/>
      <c r="H67" s="1170"/>
      <c r="I67" s="7"/>
      <c r="J67" s="44"/>
      <c r="K67" s="44"/>
      <c r="L67" s="44"/>
      <c r="M67" s="44"/>
      <c r="N67" s="44"/>
      <c r="O67" s="44"/>
      <c r="P67" s="7"/>
      <c r="Q67" s="7"/>
      <c r="R67" s="7"/>
      <c r="S67" s="7"/>
      <c r="T67" s="7"/>
      <c r="U67" s="1173"/>
      <c r="V67" s="1173"/>
      <c r="W67" s="7"/>
      <c r="X67" s="7"/>
      <c r="Y67" s="7"/>
      <c r="Z67" s="7"/>
      <c r="AA67" s="7"/>
      <c r="AB67" s="7"/>
      <c r="AC67" s="7"/>
      <c r="AD67" s="7"/>
    </row>
    <row r="68" spans="3:32" s="3" customFormat="1" ht="15.75" customHeight="1" x14ac:dyDescent="0.2">
      <c r="D68" s="18"/>
      <c r="E68" s="18"/>
      <c r="F68" s="1170"/>
      <c r="G68" s="1170"/>
      <c r="H68" s="1170"/>
      <c r="I68" s="7"/>
      <c r="J68" s="476" t="s">
        <v>180</v>
      </c>
      <c r="K68" s="459"/>
      <c r="L68" s="459"/>
      <c r="M68" s="459"/>
      <c r="N68" s="459"/>
      <c r="O68" s="477"/>
      <c r="P68" s="35">
        <v>1</v>
      </c>
      <c r="Q68" s="409" t="s">
        <v>171</v>
      </c>
      <c r="R68" s="409"/>
      <c r="S68" s="410"/>
      <c r="T68" s="7"/>
      <c r="U68" s="1173"/>
      <c r="V68" s="1173"/>
      <c r="W68" s="7"/>
      <c r="X68" s="269">
        <v>1</v>
      </c>
      <c r="Y68" s="409" t="s">
        <v>171</v>
      </c>
      <c r="Z68" s="409"/>
      <c r="AA68" s="410"/>
      <c r="AB68" s="7"/>
      <c r="AC68" s="7"/>
      <c r="AD68" s="7"/>
    </row>
    <row r="69" spans="3:32" s="3" customFormat="1" ht="15.75" customHeight="1" x14ac:dyDescent="0.2">
      <c r="D69" s="18"/>
      <c r="E69" s="18"/>
      <c r="F69" s="1171"/>
      <c r="G69" s="1171"/>
      <c r="H69" s="1171"/>
      <c r="I69" s="7"/>
      <c r="J69" s="476" t="s">
        <v>84</v>
      </c>
      <c r="K69" s="459"/>
      <c r="L69" s="459"/>
      <c r="M69" s="459"/>
      <c r="N69" s="459"/>
      <c r="O69" s="477"/>
      <c r="P69" s="35">
        <v>1</v>
      </c>
      <c r="Q69" s="409" t="s">
        <v>171</v>
      </c>
      <c r="R69" s="409"/>
      <c r="S69" s="410"/>
      <c r="T69" s="7"/>
      <c r="U69" s="1174"/>
      <c r="V69" s="1174"/>
      <c r="W69" s="7"/>
      <c r="X69" s="269">
        <v>1</v>
      </c>
      <c r="Y69" s="409" t="s">
        <v>171</v>
      </c>
      <c r="Z69" s="409"/>
      <c r="AA69" s="410"/>
      <c r="AB69" s="7"/>
      <c r="AC69" s="7"/>
      <c r="AD69" s="7"/>
    </row>
    <row r="70" spans="3:32" s="3" customFormat="1" ht="15.75" customHeight="1" x14ac:dyDescent="0.2">
      <c r="D70" s="18"/>
      <c r="E70" s="18"/>
      <c r="F70" s="7"/>
      <c r="G70" s="7"/>
      <c r="H70" s="7"/>
      <c r="I70" s="7"/>
      <c r="J70" s="7"/>
      <c r="K70" s="7"/>
      <c r="L70" s="7"/>
      <c r="M70" s="7"/>
      <c r="N70" s="7"/>
      <c r="O70" s="7"/>
      <c r="P70" s="7"/>
      <c r="Q70" s="7"/>
      <c r="R70" s="7"/>
      <c r="S70" s="7"/>
      <c r="T70" s="7"/>
      <c r="U70" s="7"/>
      <c r="V70" s="7"/>
      <c r="W70" s="7"/>
      <c r="X70" s="7"/>
      <c r="Y70" s="7"/>
      <c r="Z70" s="7"/>
      <c r="AA70" s="7"/>
      <c r="AB70" s="7"/>
      <c r="AC70" s="7"/>
      <c r="AD70" s="7"/>
    </row>
    <row r="71" spans="3:32" s="3" customFormat="1" ht="15.75" customHeight="1" x14ac:dyDescent="0.2">
      <c r="D71" s="18"/>
      <c r="E71" s="18"/>
      <c r="F71" s="7"/>
      <c r="G71" s="7"/>
      <c r="H71" s="7"/>
      <c r="I71" s="7"/>
      <c r="J71" s="22" t="s">
        <v>181</v>
      </c>
      <c r="K71" s="7"/>
      <c r="L71" s="7"/>
      <c r="M71" s="7"/>
      <c r="N71" s="7"/>
      <c r="O71" s="7"/>
      <c r="P71" s="7"/>
      <c r="Q71" s="7"/>
      <c r="R71" s="7"/>
      <c r="S71" s="7"/>
      <c r="T71" s="7"/>
      <c r="U71" s="7"/>
      <c r="V71" s="7"/>
      <c r="W71" s="7"/>
      <c r="X71" s="1151" t="s">
        <v>364</v>
      </c>
      <c r="Y71" s="1151"/>
      <c r="Z71" s="1151"/>
      <c r="AA71" s="1151"/>
      <c r="AB71" s="1151"/>
      <c r="AC71" s="1151"/>
      <c r="AD71" s="1151"/>
      <c r="AE71" s="37"/>
      <c r="AF71" s="37"/>
    </row>
    <row r="72" spans="3:32" s="3" customFormat="1" ht="15.75" customHeight="1" x14ac:dyDescent="0.2">
      <c r="D72" s="18"/>
      <c r="E72" s="18"/>
      <c r="F72" s="7"/>
      <c r="G72" s="7"/>
      <c r="H72" s="7"/>
      <c r="I72" s="7"/>
      <c r="J72" s="22" t="s">
        <v>182</v>
      </c>
      <c r="K72" s="7"/>
      <c r="L72" s="7"/>
      <c r="M72" s="7"/>
      <c r="N72" s="7"/>
      <c r="O72" s="7"/>
      <c r="P72" s="7"/>
      <c r="Q72" s="7"/>
      <c r="R72" s="7"/>
      <c r="S72" s="7"/>
      <c r="T72" s="7"/>
      <c r="U72" s="7"/>
      <c r="V72" s="7"/>
      <c r="W72" s="7"/>
      <c r="X72" s="1151"/>
      <c r="Y72" s="1151"/>
      <c r="Z72" s="1151"/>
      <c r="AA72" s="1151"/>
      <c r="AB72" s="1151"/>
      <c r="AC72" s="1151"/>
      <c r="AD72" s="1151"/>
      <c r="AE72" s="37"/>
      <c r="AF72" s="37"/>
    </row>
    <row r="73" spans="3:32" s="3" customFormat="1" ht="15.75" customHeight="1" x14ac:dyDescent="0.2">
      <c r="D73" s="18"/>
      <c r="E73" s="18"/>
      <c r="F73" s="7"/>
      <c r="G73" s="7"/>
      <c r="H73" s="7"/>
      <c r="I73" s="7"/>
      <c r="J73" s="38" t="s">
        <v>183</v>
      </c>
      <c r="K73" s="7"/>
      <c r="L73" s="7"/>
      <c r="M73" s="7"/>
      <c r="N73" s="7"/>
      <c r="O73" s="7"/>
      <c r="P73" s="7"/>
      <c r="Q73" s="7"/>
      <c r="R73" s="7"/>
      <c r="S73" s="7"/>
      <c r="T73" s="7"/>
      <c r="U73" s="7"/>
      <c r="V73" s="7"/>
      <c r="W73" s="7"/>
      <c r="X73" s="1151"/>
      <c r="Y73" s="1151"/>
      <c r="Z73" s="1151"/>
      <c r="AA73" s="1151"/>
      <c r="AB73" s="1151"/>
      <c r="AC73" s="1151"/>
      <c r="AD73" s="1151"/>
    </row>
    <row r="74" spans="3:32" s="3" customFormat="1" ht="15.2" customHeight="1" x14ac:dyDescent="0.2">
      <c r="C74" s="4"/>
    </row>
  </sheetData>
  <sheetProtection sheet="1"/>
  <mergeCells count="151">
    <mergeCell ref="J65:O65"/>
    <mergeCell ref="Q65:S65"/>
    <mergeCell ref="Y65:AA65"/>
    <mergeCell ref="J66:O66"/>
    <mergeCell ref="Q66:S66"/>
    <mergeCell ref="Y66:AA66"/>
    <mergeCell ref="X71:AD73"/>
    <mergeCell ref="J68:O68"/>
    <mergeCell ref="Q68:S68"/>
    <mergeCell ref="Y68:AA68"/>
    <mergeCell ref="J69:O69"/>
    <mergeCell ref="Q69:S69"/>
    <mergeCell ref="Y69:AA69"/>
    <mergeCell ref="J61:O61"/>
    <mergeCell ref="Q61:S61"/>
    <mergeCell ref="Y61:AA61"/>
    <mergeCell ref="J62:O62"/>
    <mergeCell ref="Q62:S62"/>
    <mergeCell ref="Y62:AA62"/>
    <mergeCell ref="J63:O63"/>
    <mergeCell ref="Q63:S63"/>
    <mergeCell ref="Y63:AA63"/>
    <mergeCell ref="J58:O58"/>
    <mergeCell ref="Q58:S58"/>
    <mergeCell ref="Y58:AA58"/>
    <mergeCell ref="J59:O59"/>
    <mergeCell ref="Q59:S59"/>
    <mergeCell ref="Y59:AA59"/>
    <mergeCell ref="J60:O60"/>
    <mergeCell ref="Q60:S60"/>
    <mergeCell ref="Y60:AA60"/>
    <mergeCell ref="D49:E49"/>
    <mergeCell ref="F51:H69"/>
    <mergeCell ref="J51:O51"/>
    <mergeCell ref="Q51:S51"/>
    <mergeCell ref="U51:V69"/>
    <mergeCell ref="Y51:AA51"/>
    <mergeCell ref="J52:O52"/>
    <mergeCell ref="Q52:S52"/>
    <mergeCell ref="Y52:AA52"/>
    <mergeCell ref="J53:O53"/>
    <mergeCell ref="Q53:S53"/>
    <mergeCell ref="Y53:AA53"/>
    <mergeCell ref="J54:O54"/>
    <mergeCell ref="Q54:S54"/>
    <mergeCell ref="Y54:AA54"/>
    <mergeCell ref="J55:O55"/>
    <mergeCell ref="Q55:S55"/>
    <mergeCell ref="Y55:AA55"/>
    <mergeCell ref="J56:O56"/>
    <mergeCell ref="Q56:S56"/>
    <mergeCell ref="Y56:AA56"/>
    <mergeCell ref="J57:O57"/>
    <mergeCell ref="Q57:S57"/>
    <mergeCell ref="Y57:AA57"/>
    <mergeCell ref="F38:I39"/>
    <mergeCell ref="K38:P39"/>
    <mergeCell ref="V38:W38"/>
    <mergeCell ref="X38:AD38"/>
    <mergeCell ref="V39:W39"/>
    <mergeCell ref="X39:AD39"/>
    <mergeCell ref="V40:AD42"/>
    <mergeCell ref="D43:E43"/>
    <mergeCell ref="F45:I46"/>
    <mergeCell ref="K45:P45"/>
    <mergeCell ref="R45:T46"/>
    <mergeCell ref="V45:W45"/>
    <mergeCell ref="X45:AD45"/>
    <mergeCell ref="K46:P46"/>
    <mergeCell ref="V46:W46"/>
    <mergeCell ref="X46:AD46"/>
    <mergeCell ref="K32:P32"/>
    <mergeCell ref="V32:W32"/>
    <mergeCell ref="X32:AD32"/>
    <mergeCell ref="F33:I37"/>
    <mergeCell ref="K33:P33"/>
    <mergeCell ref="V33:W33"/>
    <mergeCell ref="X33:AD33"/>
    <mergeCell ref="K34:P34"/>
    <mergeCell ref="V34:W34"/>
    <mergeCell ref="X34:AD34"/>
    <mergeCell ref="K35:P35"/>
    <mergeCell ref="V35:W35"/>
    <mergeCell ref="X35:AD35"/>
    <mergeCell ref="K36:P36"/>
    <mergeCell ref="V36:W36"/>
    <mergeCell ref="X36:AD36"/>
    <mergeCell ref="K37:P37"/>
    <mergeCell ref="V37:W37"/>
    <mergeCell ref="X37:AD37"/>
    <mergeCell ref="I17:L18"/>
    <mergeCell ref="M17:P18"/>
    <mergeCell ref="Q17:T18"/>
    <mergeCell ref="U17:X18"/>
    <mergeCell ref="F24:T24"/>
    <mergeCell ref="V24:AD24"/>
    <mergeCell ref="F26:I32"/>
    <mergeCell ref="K26:P27"/>
    <mergeCell ref="R26:T39"/>
    <mergeCell ref="V26:W26"/>
    <mergeCell ref="X26:AD26"/>
    <mergeCell ref="V27:W27"/>
    <mergeCell ref="X27:AD27"/>
    <mergeCell ref="K28:P29"/>
    <mergeCell ref="V28:W28"/>
    <mergeCell ref="X28:AD28"/>
    <mergeCell ref="V29:W29"/>
    <mergeCell ref="X29:AD29"/>
    <mergeCell ref="K30:P30"/>
    <mergeCell ref="V30:W30"/>
    <mergeCell ref="X30:AD30"/>
    <mergeCell ref="K31:P31"/>
    <mergeCell ref="V31:W31"/>
    <mergeCell ref="X31:AD31"/>
    <mergeCell ref="B13:S13"/>
    <mergeCell ref="I15:X15"/>
    <mergeCell ref="I16:L16"/>
    <mergeCell ref="M16:P16"/>
    <mergeCell ref="Q16:T16"/>
    <mergeCell ref="U16:X16"/>
    <mergeCell ref="B12:E12"/>
    <mergeCell ref="G12:L12"/>
    <mergeCell ref="N12:O12"/>
    <mergeCell ref="Z11:AA11"/>
    <mergeCell ref="B10:E10"/>
    <mergeCell ref="G10:L10"/>
    <mergeCell ref="N10:O10"/>
    <mergeCell ref="Q10:R10"/>
    <mergeCell ref="T10:U10"/>
    <mergeCell ref="W10:X10"/>
    <mergeCell ref="Q12:R12"/>
    <mergeCell ref="T12:U12"/>
    <mergeCell ref="W12:X12"/>
    <mergeCell ref="Z10:AA10"/>
    <mergeCell ref="B11:E11"/>
    <mergeCell ref="G11:L11"/>
    <mergeCell ref="N11:O11"/>
    <mergeCell ref="Q11:R11"/>
    <mergeCell ref="T11:U11"/>
    <mergeCell ref="W11:X11"/>
    <mergeCell ref="Z12:AA12"/>
    <mergeCell ref="C2:H2"/>
    <mergeCell ref="J2:O2"/>
    <mergeCell ref="Q2:V2"/>
    <mergeCell ref="X2:AC2"/>
    <mergeCell ref="B8:L8"/>
    <mergeCell ref="N8:O8"/>
    <mergeCell ref="Q8:R8"/>
    <mergeCell ref="T8:U8"/>
    <mergeCell ref="W8:X8"/>
    <mergeCell ref="Z8:AA8"/>
  </mergeCell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8"/>
  <dimension ref="B2:AG76"/>
  <sheetViews>
    <sheetView topLeftCell="A30" zoomScale="110" zoomScaleNormal="110" workbookViewId="0">
      <selection activeCell="A30" sqref="A1:IV65536"/>
    </sheetView>
  </sheetViews>
  <sheetFormatPr defaultColWidth="5.125" defaultRowHeight="14.25" x14ac:dyDescent="0.2"/>
  <cols>
    <col min="1" max="5" width="5.125" style="243" customWidth="1"/>
    <col min="6" max="6" width="1.125" style="243" customWidth="1"/>
    <col min="7" max="7" width="5.875" style="243" customWidth="1"/>
    <col min="8" max="8" width="6.875" style="243" customWidth="1"/>
    <col min="9" max="9" width="1.625" style="243" customWidth="1"/>
    <col min="10" max="11" width="5.125" style="243" customWidth="1"/>
    <col min="12" max="12" width="3.625" style="243" customWidth="1"/>
    <col min="13" max="13" width="4.125" style="243" customWidth="1"/>
    <col min="14" max="19" width="5.125" style="243" customWidth="1"/>
    <col min="20" max="20" width="3.375" style="243" customWidth="1"/>
    <col min="21" max="21" width="4.5" style="243" customWidth="1"/>
    <col min="22" max="22" width="3.25" style="243" customWidth="1"/>
    <col min="23" max="24" width="6.625" style="243" customWidth="1"/>
    <col min="25" max="25" width="1.875" style="243" customWidth="1"/>
    <col min="26" max="27" width="6.625" style="243" customWidth="1"/>
    <col min="28" max="28" width="2" style="243" customWidth="1"/>
    <col min="29" max="29" width="6.75" style="243" customWidth="1"/>
    <col min="30" max="30" width="5.125" style="243" customWidth="1"/>
    <col min="31" max="31" width="1.625" style="243" customWidth="1"/>
    <col min="32" max="16384" width="5.125" style="243"/>
  </cols>
  <sheetData>
    <row r="2" spans="2:33"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90"/>
      <c r="AD2" s="191"/>
    </row>
    <row r="4" spans="2:33" s="3" customFormat="1" ht="15" customHeight="1" x14ac:dyDescent="0.25">
      <c r="B4" s="245" t="s">
        <v>261</v>
      </c>
      <c r="D4" s="11"/>
      <c r="E4" s="11"/>
    </row>
    <row r="5" spans="2:33" s="3" customFormat="1" ht="15" customHeight="1" x14ac:dyDescent="0.25">
      <c r="B5" s="245"/>
      <c r="D5" s="11"/>
      <c r="E5" s="11"/>
    </row>
    <row r="6" spans="2:33" ht="15" customHeight="1" x14ac:dyDescent="0.25">
      <c r="B6" s="245" t="s">
        <v>567</v>
      </c>
    </row>
    <row r="7" spans="2:33" s="3" customFormat="1" ht="15" customHeight="1" x14ac:dyDescent="0.25">
      <c r="B7" s="245"/>
      <c r="D7" s="11"/>
      <c r="E7" s="11"/>
    </row>
    <row r="8" spans="2:33" s="3" customFormat="1" ht="7.5" customHeight="1" x14ac:dyDescent="0.2">
      <c r="D8" s="11"/>
      <c r="E8" s="11"/>
    </row>
    <row r="9" spans="2:33" s="3" customFormat="1" ht="15.75" customHeight="1" x14ac:dyDescent="0.2">
      <c r="G9" s="1183" t="s">
        <v>581</v>
      </c>
      <c r="H9" s="1184"/>
      <c r="I9" s="1184"/>
      <c r="J9" s="1184"/>
      <c r="K9" s="1184"/>
      <c r="L9" s="1184"/>
      <c r="M9" s="1184"/>
      <c r="N9" s="1184"/>
      <c r="O9" s="1184"/>
      <c r="P9" s="1184"/>
      <c r="Q9" s="1185"/>
      <c r="R9" s="20"/>
      <c r="S9" s="1183" t="s">
        <v>580</v>
      </c>
      <c r="T9" s="1184"/>
      <c r="U9" s="1184"/>
      <c r="V9" s="1184"/>
      <c r="W9" s="1184"/>
      <c r="X9" s="1185"/>
    </row>
    <row r="10" spans="2:33" s="3" customFormat="1" ht="15" customHeight="1" x14ac:dyDescent="0.2">
      <c r="G10" s="1186"/>
      <c r="H10" s="1187"/>
      <c r="I10" s="1187"/>
      <c r="J10" s="1187"/>
      <c r="K10" s="1187"/>
      <c r="L10" s="1187"/>
      <c r="M10" s="1187"/>
      <c r="N10" s="1187"/>
      <c r="O10" s="1187"/>
      <c r="P10" s="1187"/>
      <c r="Q10" s="1188"/>
      <c r="R10" s="20"/>
      <c r="S10" s="1186"/>
      <c r="T10" s="1187"/>
      <c r="U10" s="1187"/>
      <c r="V10" s="1187"/>
      <c r="W10" s="1187"/>
      <c r="X10" s="1188"/>
    </row>
    <row r="11" spans="2:33" s="3" customFormat="1" ht="5.0999999999999996" customHeight="1" x14ac:dyDescent="0.2">
      <c r="H11" s="4"/>
    </row>
    <row r="12" spans="2:33" s="3" customFormat="1" ht="30" customHeight="1" x14ac:dyDescent="0.2">
      <c r="G12" s="476" t="s">
        <v>134</v>
      </c>
      <c r="H12" s="459"/>
      <c r="I12" s="459"/>
      <c r="J12" s="477"/>
      <c r="L12" s="476" t="s">
        <v>135</v>
      </c>
      <c r="M12" s="459"/>
      <c r="N12" s="459"/>
      <c r="O12" s="459"/>
      <c r="P12" s="459"/>
      <c r="Q12" s="477"/>
      <c r="S12" s="1189">
        <v>0.85</v>
      </c>
      <c r="T12" s="1190"/>
      <c r="U12" s="1191" t="s">
        <v>136</v>
      </c>
      <c r="V12" s="1191"/>
      <c r="W12" s="1191"/>
      <c r="X12" s="1192"/>
    </row>
    <row r="13" spans="2:33" s="3" customFormat="1" ht="30" customHeight="1" x14ac:dyDescent="0.2">
      <c r="G13" s="476" t="s">
        <v>137</v>
      </c>
      <c r="H13" s="459"/>
      <c r="I13" s="459"/>
      <c r="J13" s="477"/>
      <c r="L13" s="476" t="s">
        <v>138</v>
      </c>
      <c r="M13" s="459"/>
      <c r="N13" s="459"/>
      <c r="O13" s="459"/>
      <c r="P13" s="459"/>
      <c r="Q13" s="477"/>
      <c r="S13" s="1189">
        <v>0.15</v>
      </c>
      <c r="T13" s="1190"/>
      <c r="U13" s="1191" t="s">
        <v>136</v>
      </c>
      <c r="V13" s="1191"/>
      <c r="W13" s="1191"/>
      <c r="X13" s="1192"/>
    </row>
    <row r="14" spans="2:33" s="192" customFormat="1" ht="19.5" customHeight="1" x14ac:dyDescent="0.2">
      <c r="G14" s="192" t="s">
        <v>591</v>
      </c>
      <c r="I14" s="193"/>
      <c r="J14" s="193"/>
    </row>
    <row r="15" spans="2:33" s="3" customFormat="1" ht="18" customHeight="1" x14ac:dyDescent="0.2">
      <c r="C15" s="4"/>
      <c r="U15" s="235"/>
      <c r="V15" s="235"/>
      <c r="W15" s="238"/>
      <c r="X15" s="238"/>
      <c r="Y15" s="238"/>
      <c r="Z15" s="25"/>
      <c r="AA15" s="242"/>
      <c r="AC15" s="207"/>
      <c r="AD15" s="207"/>
      <c r="AF15" s="208"/>
      <c r="AG15" s="208"/>
    </row>
    <row r="16" spans="2:33" s="3" customFormat="1" ht="15" customHeight="1" x14ac:dyDescent="0.2">
      <c r="B16" s="576" t="s">
        <v>708</v>
      </c>
      <c r="C16" s="576"/>
      <c r="D16" s="576"/>
      <c r="E16" s="576"/>
      <c r="F16" s="576"/>
      <c r="G16" s="576"/>
      <c r="H16" s="576"/>
      <c r="I16" s="576"/>
      <c r="J16" s="576"/>
      <c r="K16" s="576"/>
      <c r="L16" s="576"/>
      <c r="M16" s="576"/>
      <c r="N16" s="576"/>
      <c r="R16" s="577" t="s">
        <v>709</v>
      </c>
      <c r="S16" s="578"/>
      <c r="T16" s="578"/>
      <c r="U16" s="578"/>
      <c r="V16" s="578"/>
      <c r="W16" s="578"/>
      <c r="X16" s="578"/>
      <c r="Y16" s="578"/>
      <c r="Z16" s="578"/>
      <c r="AA16" s="578"/>
      <c r="AB16" s="578"/>
      <c r="AC16" s="578"/>
      <c r="AD16" s="579"/>
    </row>
    <row r="17" spans="2:33" s="3" customFormat="1" ht="7.5" customHeight="1" x14ac:dyDescent="0.2"/>
    <row r="18" spans="2:33" s="3" customFormat="1" ht="22.5" customHeight="1" x14ac:dyDescent="0.2">
      <c r="B18" s="675" t="s">
        <v>548</v>
      </c>
      <c r="C18" s="675"/>
      <c r="D18" s="675"/>
      <c r="E18" s="675"/>
      <c r="F18" s="49"/>
      <c r="G18" s="633" t="s">
        <v>547</v>
      </c>
      <c r="H18" s="634"/>
      <c r="I18" s="20"/>
      <c r="J18" s="585" t="s">
        <v>545</v>
      </c>
      <c r="K18" s="586"/>
      <c r="M18" s="585" t="s">
        <v>544</v>
      </c>
      <c r="N18" s="586"/>
      <c r="R18" s="676" t="s">
        <v>548</v>
      </c>
      <c r="S18" s="677"/>
      <c r="T18" s="677"/>
      <c r="U18" s="678"/>
      <c r="V18" s="49"/>
      <c r="W18" s="633" t="s">
        <v>547</v>
      </c>
      <c r="X18" s="634"/>
      <c r="Y18" s="20"/>
      <c r="Z18" s="585" t="s">
        <v>545</v>
      </c>
      <c r="AA18" s="586"/>
      <c r="AC18" s="585" t="s">
        <v>544</v>
      </c>
      <c r="AD18" s="586"/>
    </row>
    <row r="19" spans="2:33" s="3" customFormat="1" ht="15" customHeight="1" x14ac:dyDescent="0.2">
      <c r="B19" s="589" t="s">
        <v>263</v>
      </c>
      <c r="C19" s="589"/>
      <c r="D19" s="589" t="s">
        <v>257</v>
      </c>
      <c r="E19" s="589"/>
      <c r="G19" s="635"/>
      <c r="H19" s="636"/>
      <c r="I19" s="20"/>
      <c r="J19" s="587"/>
      <c r="K19" s="588"/>
      <c r="M19" s="587"/>
      <c r="N19" s="588"/>
      <c r="R19" s="565" t="s">
        <v>263</v>
      </c>
      <c r="S19" s="566"/>
      <c r="T19" s="565" t="s">
        <v>257</v>
      </c>
      <c r="U19" s="566"/>
      <c r="W19" s="635"/>
      <c r="X19" s="636"/>
      <c r="Y19" s="20"/>
      <c r="Z19" s="587"/>
      <c r="AA19" s="588"/>
      <c r="AC19" s="587"/>
      <c r="AD19" s="588"/>
    </row>
    <row r="20" spans="2:33" s="3" customFormat="1" ht="7.5" customHeight="1" x14ac:dyDescent="0.2"/>
    <row r="21" spans="2:33" s="3" customFormat="1" ht="30" customHeight="1" x14ac:dyDescent="0.2">
      <c r="B21" s="567" t="s">
        <v>305</v>
      </c>
      <c r="C21" s="568"/>
      <c r="D21" s="570">
        <f>CADASTRO!BS7*CRIANÇA!S12</f>
        <v>48.449999999999996</v>
      </c>
      <c r="E21" s="571"/>
      <c r="G21" s="1142">
        <v>27</v>
      </c>
      <c r="H21" s="1143"/>
      <c r="I21" s="23"/>
      <c r="J21" s="574">
        <f>G21/(D21+U22)</f>
        <v>0.55727554179566563</v>
      </c>
      <c r="K21" s="575"/>
      <c r="M21" s="1178">
        <v>0.99</v>
      </c>
      <c r="N21" s="1179"/>
      <c r="R21" s="567" t="s">
        <v>305</v>
      </c>
      <c r="S21" s="568"/>
      <c r="T21" s="570">
        <f>CADASTRO!BS7*CRIANÇA!S13</f>
        <v>8.5499999999999989</v>
      </c>
      <c r="U21" s="571"/>
      <c r="W21" s="1142">
        <v>5</v>
      </c>
      <c r="X21" s="1143"/>
      <c r="Y21" s="23"/>
      <c r="Z21" s="574">
        <f>W21/(T21+X33)</f>
        <v>0.58479532163742698</v>
      </c>
      <c r="AA21" s="575"/>
      <c r="AC21" s="1181">
        <v>1</v>
      </c>
      <c r="AD21" s="1182"/>
    </row>
    <row r="22" spans="2:33" s="3" customFormat="1" ht="30" customHeight="1" x14ac:dyDescent="0.2">
      <c r="B22" s="584" t="s">
        <v>308</v>
      </c>
      <c r="C22" s="477"/>
      <c r="D22" s="842">
        <f>SUM(CADASTRO!BS8)*S12</f>
        <v>46.75</v>
      </c>
      <c r="E22" s="844"/>
      <c r="G22" s="1149">
        <v>15</v>
      </c>
      <c r="H22" s="1150"/>
      <c r="I22" s="23"/>
      <c r="J22" s="574">
        <f>G22/(D22+U23)</f>
        <v>0.32085561497326204</v>
      </c>
      <c r="K22" s="575"/>
      <c r="M22" s="1180">
        <v>0.5</v>
      </c>
      <c r="N22" s="1180"/>
      <c r="R22" s="567" t="s">
        <v>308</v>
      </c>
      <c r="S22" s="568"/>
      <c r="T22" s="570">
        <f>SUM(CADASTRO!BS8)*S13</f>
        <v>8.25</v>
      </c>
      <c r="U22" s="571"/>
      <c r="W22" s="1142">
        <v>5</v>
      </c>
      <c r="X22" s="1143"/>
      <c r="Y22" s="23"/>
      <c r="Z22" s="574">
        <f>W22/(T22+X34)</f>
        <v>0.60606060606060608</v>
      </c>
      <c r="AA22" s="575"/>
      <c r="AC22" s="1181">
        <v>1</v>
      </c>
      <c r="AD22" s="1182"/>
    </row>
    <row r="23" spans="2:33" s="3" customFormat="1" ht="30" customHeight="1" x14ac:dyDescent="0.2">
      <c r="B23" s="584" t="s">
        <v>307</v>
      </c>
      <c r="C23" s="477"/>
      <c r="D23" s="842">
        <f>CADASTRO!$BS$9*S12</f>
        <v>186.15</v>
      </c>
      <c r="E23" s="844"/>
      <c r="F23" s="192"/>
      <c r="G23" s="1149">
        <v>26</v>
      </c>
      <c r="H23" s="1150"/>
      <c r="I23" s="192"/>
      <c r="J23" s="574">
        <f>G23/(D23+U24)</f>
        <v>0.13967230727907601</v>
      </c>
      <c r="K23" s="575"/>
      <c r="L23" s="192"/>
      <c r="M23" s="1180">
        <v>0.5</v>
      </c>
      <c r="N23" s="1180"/>
      <c r="R23" s="567" t="s">
        <v>307</v>
      </c>
      <c r="S23" s="568"/>
      <c r="T23" s="570">
        <f>CADASTRO!$BS$9*S13</f>
        <v>32.85</v>
      </c>
      <c r="U23" s="571"/>
      <c r="V23" s="192"/>
      <c r="W23" s="1142">
        <v>10</v>
      </c>
      <c r="X23" s="1143"/>
      <c r="Y23" s="192"/>
      <c r="Z23" s="574">
        <f>W23/(T23+X35)</f>
        <v>0.30441400304414001</v>
      </c>
      <c r="AA23" s="575"/>
      <c r="AB23" s="192"/>
      <c r="AC23" s="1181">
        <v>1</v>
      </c>
      <c r="AD23" s="1182"/>
    </row>
    <row r="24" spans="2:33" s="3" customFormat="1" ht="30" customHeight="1" x14ac:dyDescent="0.2">
      <c r="B24" s="628" t="s">
        <v>306</v>
      </c>
      <c r="C24" s="629"/>
      <c r="D24" s="1176">
        <f>CADASTRO!BS10*S12</f>
        <v>241.4</v>
      </c>
      <c r="E24" s="1177"/>
      <c r="G24" s="1149">
        <v>62</v>
      </c>
      <c r="H24" s="1150"/>
      <c r="J24" s="574">
        <f>G24/(D24+X25)</f>
        <v>0.25683512841756423</v>
      </c>
      <c r="K24" s="575"/>
      <c r="M24" s="1181">
        <v>0.5</v>
      </c>
      <c r="N24" s="1182"/>
      <c r="R24" s="567" t="s">
        <v>306</v>
      </c>
      <c r="S24" s="568"/>
      <c r="T24" s="570">
        <f>CADASTRO!BS10*S13</f>
        <v>42.6</v>
      </c>
      <c r="U24" s="571"/>
      <c r="W24" s="1142">
        <v>22</v>
      </c>
      <c r="X24" s="1143"/>
      <c r="Z24" s="574">
        <f>W24/(T24+X36)</f>
        <v>0.51643192488262912</v>
      </c>
      <c r="AA24" s="575"/>
      <c r="AC24" s="1181">
        <v>1</v>
      </c>
      <c r="AD24" s="1182"/>
    </row>
    <row r="25" spans="2:33" s="3" customFormat="1" ht="19.5" customHeight="1" x14ac:dyDescent="0.2">
      <c r="C25" s="4"/>
      <c r="U25" s="235"/>
      <c r="V25" s="235"/>
      <c r="W25" s="238"/>
      <c r="X25" s="238"/>
      <c r="Y25" s="238"/>
      <c r="Z25" s="25"/>
      <c r="AA25" s="242"/>
      <c r="AC25" s="207"/>
      <c r="AD25" s="207"/>
      <c r="AF25" s="208"/>
      <c r="AG25" s="208"/>
    </row>
    <row r="26" spans="2:33" s="3" customFormat="1" ht="20.100000000000001" customHeight="1" x14ac:dyDescent="0.2">
      <c r="C26" s="686" t="s">
        <v>710</v>
      </c>
      <c r="D26" s="687"/>
      <c r="E26" s="687"/>
      <c r="F26" s="687"/>
      <c r="G26" s="687"/>
      <c r="H26" s="688"/>
      <c r="J26" s="689" t="s">
        <v>592</v>
      </c>
      <c r="K26" s="690"/>
      <c r="L26" s="690"/>
      <c r="M26" s="690"/>
      <c r="N26" s="690"/>
      <c r="O26" s="690"/>
      <c r="P26" s="690"/>
      <c r="Q26" s="690"/>
      <c r="R26" s="690"/>
      <c r="S26" s="690"/>
      <c r="T26" s="690"/>
      <c r="U26" s="690"/>
      <c r="V26" s="690"/>
      <c r="W26" s="690"/>
      <c r="X26" s="690"/>
      <c r="Y26" s="691"/>
      <c r="Z26" s="25"/>
      <c r="AA26" s="242"/>
      <c r="AC26" s="207"/>
      <c r="AD26" s="207"/>
      <c r="AF26" s="208"/>
      <c r="AG26" s="208"/>
    </row>
    <row r="27" spans="2:33" s="3" customFormat="1" ht="20.100000000000001" customHeight="1" x14ac:dyDescent="0.2">
      <c r="C27" s="1196" t="s">
        <v>263</v>
      </c>
      <c r="D27" s="1197"/>
      <c r="E27" s="1197"/>
      <c r="F27" s="1198"/>
      <c r="G27" s="1195" t="s">
        <v>0</v>
      </c>
      <c r="H27" s="850"/>
      <c r="J27" s="696" t="s">
        <v>263</v>
      </c>
      <c r="K27" s="697"/>
      <c r="L27" s="697"/>
      <c r="M27" s="698"/>
      <c r="N27" s="851" t="s">
        <v>4</v>
      </c>
      <c r="O27" s="852"/>
      <c r="P27" s="852"/>
      <c r="Q27" s="853"/>
      <c r="R27" s="851" t="s">
        <v>300</v>
      </c>
      <c r="S27" s="852"/>
      <c r="T27" s="852"/>
      <c r="U27" s="854"/>
      <c r="V27" s="855" t="s">
        <v>230</v>
      </c>
      <c r="W27" s="856"/>
      <c r="X27" s="856"/>
      <c r="Y27" s="857"/>
      <c r="Z27" s="25"/>
      <c r="AA27" s="242"/>
      <c r="AC27" s="207"/>
      <c r="AD27" s="207"/>
      <c r="AF27" s="208"/>
      <c r="AG27" s="208"/>
    </row>
    <row r="28" spans="2:33" s="3" customFormat="1" ht="20.100000000000001" customHeight="1" x14ac:dyDescent="0.2">
      <c r="C28" s="1196" t="s">
        <v>305</v>
      </c>
      <c r="D28" s="1197"/>
      <c r="E28" s="1197"/>
      <c r="F28" s="1198"/>
      <c r="G28" s="1175">
        <f>(G21+W21)/(D21+T21)</f>
        <v>0.5614035087719299</v>
      </c>
      <c r="H28" s="705"/>
      <c r="J28" s="696" t="s">
        <v>305</v>
      </c>
      <c r="K28" s="697"/>
      <c r="L28" s="697"/>
      <c r="M28" s="698"/>
      <c r="N28" s="699">
        <f>' POP. ALVO'!N38</f>
        <v>48.763499999999993</v>
      </c>
      <c r="O28" s="700"/>
      <c r="P28" s="700"/>
      <c r="Q28" s="701"/>
      <c r="R28" s="699">
        <f>' POP. ALVO'!R38</f>
        <v>40.213499999999996</v>
      </c>
      <c r="S28" s="700"/>
      <c r="T28" s="700"/>
      <c r="U28" s="701"/>
      <c r="V28" s="699">
        <f>' POP. ALVO'!V38</f>
        <v>8.5499999999999989</v>
      </c>
      <c r="W28" s="700"/>
      <c r="X28" s="700"/>
      <c r="Y28" s="701"/>
      <c r="Z28" s="25"/>
      <c r="AA28" s="242"/>
      <c r="AC28" s="207"/>
      <c r="AD28" s="207"/>
      <c r="AF28" s="208"/>
      <c r="AG28" s="208"/>
    </row>
    <row r="29" spans="2:33" s="3" customFormat="1" ht="20.100000000000001" customHeight="1" x14ac:dyDescent="0.2">
      <c r="C29" s="1196" t="s">
        <v>308</v>
      </c>
      <c r="D29" s="1197"/>
      <c r="E29" s="1197"/>
      <c r="F29" s="1198"/>
      <c r="G29" s="1175">
        <f>(G22+W22)/(D22+T22)</f>
        <v>0.36363636363636365</v>
      </c>
      <c r="H29" s="705"/>
      <c r="J29" s="696" t="s">
        <v>308</v>
      </c>
      <c r="K29" s="697"/>
      <c r="L29" s="697"/>
      <c r="M29" s="698"/>
      <c r="N29" s="699">
        <f>' POP. ALVO'!N39</f>
        <v>55</v>
      </c>
      <c r="O29" s="700"/>
      <c r="P29" s="700"/>
      <c r="Q29" s="701"/>
      <c r="R29" s="699">
        <f>' POP. ALVO'!R39</f>
        <v>46.75</v>
      </c>
      <c r="S29" s="700"/>
      <c r="T29" s="700"/>
      <c r="U29" s="701"/>
      <c r="V29" s="699">
        <f>' POP. ALVO'!V39</f>
        <v>8.25</v>
      </c>
      <c r="W29" s="700"/>
      <c r="X29" s="700"/>
      <c r="Y29" s="701"/>
      <c r="Z29" s="25"/>
      <c r="AA29" s="242"/>
      <c r="AC29" s="207"/>
      <c r="AD29" s="207"/>
      <c r="AF29" s="208"/>
      <c r="AG29" s="208"/>
    </row>
    <row r="30" spans="2:33" s="3" customFormat="1" ht="20.100000000000001" customHeight="1" x14ac:dyDescent="0.2">
      <c r="C30" s="1196" t="s">
        <v>307</v>
      </c>
      <c r="D30" s="1197"/>
      <c r="E30" s="1197"/>
      <c r="F30" s="1198"/>
      <c r="G30" s="1175">
        <f>(G23+W23)/(D23+T23)</f>
        <v>0.16438356164383561</v>
      </c>
      <c r="H30" s="705"/>
      <c r="J30" s="696" t="s">
        <v>307</v>
      </c>
      <c r="K30" s="697"/>
      <c r="L30" s="697"/>
      <c r="M30" s="698"/>
      <c r="N30" s="699">
        <f>' POP. ALVO'!N40</f>
        <v>144.54</v>
      </c>
      <c r="O30" s="700"/>
      <c r="P30" s="700"/>
      <c r="Q30" s="701"/>
      <c r="R30" s="699">
        <f>' POP. ALVO'!R40</f>
        <v>111.69</v>
      </c>
      <c r="S30" s="700"/>
      <c r="T30" s="700"/>
      <c r="U30" s="701"/>
      <c r="V30" s="699">
        <f>' POP. ALVO'!V40</f>
        <v>32.85</v>
      </c>
      <c r="W30" s="700"/>
      <c r="X30" s="700"/>
      <c r="Y30" s="701"/>
      <c r="Z30" s="25"/>
      <c r="AA30" s="242"/>
      <c r="AC30" s="207"/>
      <c r="AD30" s="207"/>
      <c r="AF30" s="208"/>
      <c r="AG30" s="208"/>
    </row>
    <row r="31" spans="2:33" s="3" customFormat="1" ht="20.100000000000001" customHeight="1" x14ac:dyDescent="0.2">
      <c r="C31" s="1199" t="s">
        <v>306</v>
      </c>
      <c r="D31" s="1200"/>
      <c r="E31" s="1200"/>
      <c r="F31" s="1201"/>
      <c r="G31" s="1175">
        <f>(G24+W24)/(D24+T24)</f>
        <v>0.29577464788732394</v>
      </c>
      <c r="H31" s="705"/>
      <c r="J31" s="696" t="s">
        <v>306</v>
      </c>
      <c r="K31" s="697"/>
      <c r="L31" s="697"/>
      <c r="M31" s="698"/>
      <c r="N31" s="699">
        <f>' POP. ALVO'!N41</f>
        <v>139.16</v>
      </c>
      <c r="O31" s="700"/>
      <c r="P31" s="700"/>
      <c r="Q31" s="701"/>
      <c r="R31" s="699">
        <f>' POP. ALVO'!R41</f>
        <v>96.56</v>
      </c>
      <c r="S31" s="700"/>
      <c r="T31" s="700"/>
      <c r="U31" s="701"/>
      <c r="V31" s="699">
        <f>' POP. ALVO'!V41</f>
        <v>42.6</v>
      </c>
      <c r="W31" s="700"/>
      <c r="X31" s="700"/>
      <c r="Y31" s="701"/>
      <c r="Z31" s="25"/>
      <c r="AA31" s="242"/>
      <c r="AC31" s="207"/>
      <c r="AD31" s="207"/>
      <c r="AF31" s="208"/>
      <c r="AG31" s="208"/>
    </row>
    <row r="32" spans="2:33" s="3" customFormat="1" ht="20.100000000000001" customHeight="1" x14ac:dyDescent="0.2">
      <c r="C32" s="730" t="s">
        <v>4</v>
      </c>
      <c r="D32" s="731"/>
      <c r="E32" s="731"/>
      <c r="F32" s="732"/>
      <c r="G32" s="733">
        <f>(G21+G22+G23+G24+W21+W22+W23+W24)/(D21+D22+D23+D24+T21+T22+T23+T24)</f>
        <v>0.27967479674796747</v>
      </c>
      <c r="H32" s="734"/>
      <c r="J32" s="735" t="s">
        <v>4</v>
      </c>
      <c r="K32" s="736"/>
      <c r="L32" s="736"/>
      <c r="M32" s="737"/>
      <c r="N32" s="738">
        <f>SUM(N28:Q31)</f>
        <v>387.46349999999995</v>
      </c>
      <c r="O32" s="739"/>
      <c r="P32" s="739"/>
      <c r="Q32" s="740"/>
      <c r="R32" s="738">
        <f>SUM(R28:U31)</f>
        <v>295.21350000000001</v>
      </c>
      <c r="S32" s="739"/>
      <c r="T32" s="739"/>
      <c r="U32" s="741"/>
      <c r="V32" s="738">
        <f>SUM(V28:Y31)</f>
        <v>92.25</v>
      </c>
      <c r="W32" s="739"/>
      <c r="X32" s="739"/>
      <c r="Y32" s="741"/>
      <c r="Z32" s="25"/>
      <c r="AA32" s="242"/>
      <c r="AC32" s="207"/>
      <c r="AD32" s="207"/>
      <c r="AF32" s="208"/>
      <c r="AG32" s="208"/>
    </row>
    <row r="33" spans="2:33" s="3" customFormat="1" ht="20.100000000000001" customHeight="1" x14ac:dyDescent="0.2">
      <c r="C33" s="4"/>
      <c r="J33" s="47"/>
      <c r="K33" s="47"/>
      <c r="L33" s="47"/>
      <c r="M33" s="47"/>
      <c r="N33" s="47"/>
      <c r="O33" s="47"/>
      <c r="P33" s="47"/>
      <c r="Q33" s="47"/>
      <c r="R33" s="236"/>
      <c r="S33" s="236"/>
      <c r="T33" s="236"/>
      <c r="U33" s="236"/>
      <c r="V33" s="236"/>
      <c r="W33" s="236"/>
      <c r="X33" s="236"/>
      <c r="Y33" s="236"/>
      <c r="Z33" s="25"/>
      <c r="AA33" s="242"/>
      <c r="AC33" s="207"/>
      <c r="AD33" s="207"/>
      <c r="AF33" s="208"/>
      <c r="AG33" s="208"/>
    </row>
    <row r="34" spans="2:33" ht="15" customHeight="1" x14ac:dyDescent="0.25">
      <c r="B34" s="245" t="s">
        <v>569</v>
      </c>
    </row>
    <row r="35" spans="2:33" s="3" customFormat="1" ht="15" customHeight="1" x14ac:dyDescent="0.2">
      <c r="C35" s="4"/>
      <c r="U35" s="235"/>
      <c r="V35" s="235"/>
      <c r="W35" s="238"/>
      <c r="X35" s="238"/>
      <c r="Y35" s="238"/>
      <c r="Z35" s="25"/>
      <c r="AA35" s="242"/>
      <c r="AC35" s="207"/>
      <c r="AD35" s="207"/>
      <c r="AF35" s="208"/>
      <c r="AG35" s="208"/>
    </row>
    <row r="36" spans="2:33" s="3" customFormat="1" ht="15.75" x14ac:dyDescent="0.2">
      <c r="C36" s="4"/>
      <c r="D36" s="386"/>
      <c r="E36" s="386"/>
      <c r="F36" s="3" t="s">
        <v>143</v>
      </c>
    </row>
    <row r="37" spans="2:33" s="3" customFormat="1" ht="5.0999999999999996" customHeight="1" x14ac:dyDescent="0.2">
      <c r="C37" s="4"/>
    </row>
    <row r="38" spans="2:33" s="3" customFormat="1" ht="7.5" customHeight="1" x14ac:dyDescent="0.2">
      <c r="D38" s="11"/>
      <c r="E38" s="11"/>
    </row>
    <row r="39" spans="2:33" s="3" customFormat="1" ht="15.75" customHeight="1" x14ac:dyDescent="0.2">
      <c r="D39" s="11"/>
      <c r="E39" s="11"/>
      <c r="F39" s="817" t="s">
        <v>126</v>
      </c>
      <c r="G39" s="818"/>
      <c r="H39" s="818"/>
      <c r="I39" s="818"/>
      <c r="J39" s="818"/>
      <c r="K39" s="818"/>
      <c r="L39" s="818"/>
      <c r="M39" s="818"/>
      <c r="N39" s="818"/>
      <c r="O39" s="818"/>
      <c r="P39" s="818"/>
      <c r="Q39" s="818"/>
      <c r="R39" s="818"/>
      <c r="S39" s="818"/>
      <c r="T39" s="819"/>
      <c r="U39" s="20"/>
      <c r="V39" s="427" t="s">
        <v>620</v>
      </c>
      <c r="W39" s="427"/>
      <c r="X39" s="427"/>
      <c r="Y39" s="427"/>
      <c r="Z39" s="427"/>
      <c r="AA39" s="427"/>
      <c r="AB39" s="427"/>
      <c r="AC39" s="427"/>
    </row>
    <row r="40" spans="2:33" s="3" customFormat="1" ht="5.0999999999999996" customHeight="1" x14ac:dyDescent="0.2">
      <c r="C40" s="4"/>
      <c r="V40" s="27"/>
      <c r="W40" s="27"/>
      <c r="X40" s="27"/>
      <c r="Y40" s="27"/>
      <c r="Z40" s="27"/>
      <c r="AA40" s="27"/>
      <c r="AB40" s="27"/>
      <c r="AC40" s="27"/>
    </row>
    <row r="41" spans="2:33" s="3" customFormat="1" ht="21.95" customHeight="1" x14ac:dyDescent="0.2">
      <c r="D41" s="11"/>
      <c r="E41" s="11"/>
      <c r="F41" s="509" t="s">
        <v>655</v>
      </c>
      <c r="G41" s="509"/>
      <c r="H41" s="509"/>
      <c r="I41" s="509"/>
      <c r="J41" s="21"/>
      <c r="K41" s="481" t="s">
        <v>145</v>
      </c>
      <c r="L41" s="482"/>
      <c r="M41" s="482"/>
      <c r="N41" s="482"/>
      <c r="O41" s="482"/>
      <c r="P41" s="483"/>
      <c r="Q41" s="21"/>
      <c r="R41" s="509" t="s">
        <v>184</v>
      </c>
      <c r="S41" s="509"/>
      <c r="T41" s="509"/>
      <c r="U41" s="22"/>
      <c r="V41" s="407">
        <v>1</v>
      </c>
      <c r="W41" s="408"/>
      <c r="X41" s="412" t="s">
        <v>146</v>
      </c>
      <c r="Y41" s="412"/>
      <c r="Z41" s="412"/>
      <c r="AA41" s="412"/>
      <c r="AB41" s="412"/>
      <c r="AC41" s="413"/>
    </row>
    <row r="42" spans="2:33" s="3" customFormat="1" ht="21.95" customHeight="1" x14ac:dyDescent="0.2">
      <c r="D42" s="11"/>
      <c r="E42" s="11"/>
      <c r="F42" s="509"/>
      <c r="G42" s="509"/>
      <c r="H42" s="509"/>
      <c r="I42" s="509"/>
      <c r="J42" s="21"/>
      <c r="K42" s="484"/>
      <c r="L42" s="485"/>
      <c r="M42" s="485"/>
      <c r="N42" s="485"/>
      <c r="O42" s="485"/>
      <c r="P42" s="486"/>
      <c r="Q42" s="21"/>
      <c r="R42" s="509"/>
      <c r="S42" s="509"/>
      <c r="T42" s="509"/>
      <c r="U42" s="22"/>
      <c r="V42" s="407">
        <v>1</v>
      </c>
      <c r="W42" s="408"/>
      <c r="X42" s="412" t="s">
        <v>147</v>
      </c>
      <c r="Y42" s="412"/>
      <c r="Z42" s="412"/>
      <c r="AA42" s="412"/>
      <c r="AB42" s="412"/>
      <c r="AC42" s="413"/>
    </row>
    <row r="43" spans="2:33" s="3" customFormat="1" ht="21.95" customHeight="1" x14ac:dyDescent="0.2">
      <c r="D43" s="11"/>
      <c r="E43" s="11"/>
      <c r="F43" s="509"/>
      <c r="G43" s="509"/>
      <c r="H43" s="509"/>
      <c r="I43" s="509"/>
      <c r="J43" s="21"/>
      <c r="K43" s="481" t="s">
        <v>185</v>
      </c>
      <c r="L43" s="482"/>
      <c r="M43" s="482"/>
      <c r="N43" s="482"/>
      <c r="O43" s="482"/>
      <c r="P43" s="483"/>
      <c r="Q43" s="21"/>
      <c r="R43" s="509"/>
      <c r="S43" s="509"/>
      <c r="T43" s="509"/>
      <c r="U43" s="22"/>
      <c r="V43" s="407">
        <v>3</v>
      </c>
      <c r="W43" s="408"/>
      <c r="X43" s="412" t="s">
        <v>148</v>
      </c>
      <c r="Y43" s="412"/>
      <c r="Z43" s="412"/>
      <c r="AA43" s="412"/>
      <c r="AB43" s="412"/>
      <c r="AC43" s="413"/>
    </row>
    <row r="44" spans="2:33" s="3" customFormat="1" ht="21.95" customHeight="1" x14ac:dyDescent="0.2">
      <c r="D44" s="11"/>
      <c r="E44" s="11"/>
      <c r="F44" s="509"/>
      <c r="G44" s="509"/>
      <c r="H44" s="509"/>
      <c r="I44" s="509"/>
      <c r="J44" s="21"/>
      <c r="K44" s="484"/>
      <c r="L44" s="485"/>
      <c r="M44" s="485"/>
      <c r="N44" s="485"/>
      <c r="O44" s="485"/>
      <c r="P44" s="486"/>
      <c r="Q44" s="21"/>
      <c r="R44" s="509"/>
      <c r="S44" s="509"/>
      <c r="T44" s="509"/>
      <c r="U44" s="22"/>
      <c r="V44" s="407">
        <v>3</v>
      </c>
      <c r="W44" s="408"/>
      <c r="X44" s="412" t="s">
        <v>149</v>
      </c>
      <c r="Y44" s="412"/>
      <c r="Z44" s="412"/>
      <c r="AA44" s="412"/>
      <c r="AB44" s="412"/>
      <c r="AC44" s="413"/>
    </row>
    <row r="45" spans="2:33" s="3" customFormat="1" ht="39.75" customHeight="1" x14ac:dyDescent="0.2">
      <c r="D45" s="11"/>
      <c r="E45" s="11"/>
      <c r="F45" s="509"/>
      <c r="G45" s="509"/>
      <c r="H45" s="509"/>
      <c r="I45" s="509"/>
      <c r="K45" s="476" t="s">
        <v>186</v>
      </c>
      <c r="L45" s="459"/>
      <c r="M45" s="459"/>
      <c r="N45" s="459"/>
      <c r="O45" s="459"/>
      <c r="P45" s="477"/>
      <c r="R45" s="509"/>
      <c r="S45" s="509"/>
      <c r="T45" s="509"/>
      <c r="V45" s="407">
        <v>2</v>
      </c>
      <c r="W45" s="408"/>
      <c r="X45" s="412" t="s">
        <v>150</v>
      </c>
      <c r="Y45" s="412"/>
      <c r="Z45" s="412"/>
      <c r="AA45" s="412"/>
      <c r="AB45" s="412"/>
      <c r="AC45" s="413"/>
    </row>
    <row r="46" spans="2:33" s="3" customFormat="1" ht="39.75" customHeight="1" x14ac:dyDescent="0.2">
      <c r="D46" s="11"/>
      <c r="E46" s="11"/>
      <c r="F46" s="509"/>
      <c r="G46" s="509"/>
      <c r="H46" s="509"/>
      <c r="I46" s="509"/>
      <c r="K46" s="476" t="s">
        <v>445</v>
      </c>
      <c r="L46" s="459"/>
      <c r="M46" s="459"/>
      <c r="N46" s="459"/>
      <c r="O46" s="459"/>
      <c r="P46" s="477"/>
      <c r="R46" s="509"/>
      <c r="S46" s="509"/>
      <c r="T46" s="509"/>
      <c r="V46" s="407">
        <v>12</v>
      </c>
      <c r="W46" s="408"/>
      <c r="X46" s="412" t="s">
        <v>442</v>
      </c>
      <c r="Y46" s="412"/>
      <c r="Z46" s="412"/>
      <c r="AA46" s="412"/>
      <c r="AB46" s="412"/>
      <c r="AC46" s="413"/>
    </row>
    <row r="47" spans="2:33" s="3" customFormat="1" ht="63" customHeight="1" x14ac:dyDescent="0.2">
      <c r="C47" s="4"/>
      <c r="F47" s="509"/>
      <c r="G47" s="509"/>
      <c r="H47" s="509"/>
      <c r="I47" s="509"/>
      <c r="K47" s="476" t="s">
        <v>626</v>
      </c>
      <c r="L47" s="459"/>
      <c r="M47" s="459"/>
      <c r="N47" s="459"/>
      <c r="O47" s="459"/>
      <c r="P47" s="477"/>
      <c r="R47" s="509"/>
      <c r="S47" s="509"/>
      <c r="T47" s="509"/>
      <c r="V47" s="407">
        <v>4</v>
      </c>
      <c r="W47" s="408"/>
      <c r="X47" s="412" t="s">
        <v>151</v>
      </c>
      <c r="Y47" s="412"/>
      <c r="Z47" s="412"/>
      <c r="AA47" s="412"/>
      <c r="AB47" s="412"/>
      <c r="AC47" s="413"/>
    </row>
    <row r="48" spans="2:33" s="3" customFormat="1" ht="21.95" customHeight="1" x14ac:dyDescent="0.2">
      <c r="C48" s="4"/>
      <c r="F48" s="481" t="s">
        <v>656</v>
      </c>
      <c r="G48" s="482"/>
      <c r="H48" s="482"/>
      <c r="I48" s="483"/>
      <c r="K48" s="481" t="s">
        <v>427</v>
      </c>
      <c r="L48" s="482"/>
      <c r="M48" s="482"/>
      <c r="N48" s="482"/>
      <c r="O48" s="482"/>
      <c r="P48" s="483"/>
      <c r="R48" s="509"/>
      <c r="S48" s="509"/>
      <c r="T48" s="509"/>
      <c r="V48" s="407">
        <v>1</v>
      </c>
      <c r="W48" s="408"/>
      <c r="X48" s="412" t="s">
        <v>222</v>
      </c>
      <c r="Y48" s="412"/>
      <c r="Z48" s="412"/>
      <c r="AA48" s="412"/>
      <c r="AB48" s="412"/>
      <c r="AC48" s="413"/>
    </row>
    <row r="49" spans="3:29" s="3" customFormat="1" ht="21.95" customHeight="1" x14ac:dyDescent="0.2">
      <c r="C49" s="4"/>
      <c r="F49" s="490"/>
      <c r="G49" s="491"/>
      <c r="H49" s="491"/>
      <c r="I49" s="492"/>
      <c r="K49" s="484"/>
      <c r="L49" s="485"/>
      <c r="M49" s="485"/>
      <c r="N49" s="485"/>
      <c r="O49" s="485"/>
      <c r="P49" s="486"/>
      <c r="R49" s="509"/>
      <c r="S49" s="509"/>
      <c r="T49" s="509"/>
      <c r="V49" s="407">
        <v>1</v>
      </c>
      <c r="W49" s="408"/>
      <c r="X49" s="412" t="s">
        <v>310</v>
      </c>
      <c r="Y49" s="412"/>
      <c r="Z49" s="412"/>
      <c r="AA49" s="412"/>
      <c r="AB49" s="412"/>
      <c r="AC49" s="413"/>
    </row>
    <row r="50" spans="3:29" s="3" customFormat="1" ht="21.95" customHeight="1" x14ac:dyDescent="0.2">
      <c r="C50" s="4"/>
      <c r="F50" s="490"/>
      <c r="G50" s="491"/>
      <c r="H50" s="491"/>
      <c r="I50" s="492"/>
      <c r="K50" s="481" t="s">
        <v>309</v>
      </c>
      <c r="L50" s="482"/>
      <c r="M50" s="482"/>
      <c r="N50" s="482"/>
      <c r="O50" s="482"/>
      <c r="P50" s="483"/>
      <c r="R50" s="509"/>
      <c r="S50" s="509"/>
      <c r="T50" s="509"/>
      <c r="V50" s="407">
        <v>2</v>
      </c>
      <c r="W50" s="408"/>
      <c r="X50" s="412" t="s">
        <v>222</v>
      </c>
      <c r="Y50" s="412"/>
      <c r="Z50" s="412"/>
      <c r="AA50" s="412"/>
      <c r="AB50" s="412"/>
      <c r="AC50" s="413"/>
    </row>
    <row r="51" spans="3:29" s="3" customFormat="1" ht="21.95" customHeight="1" x14ac:dyDescent="0.2">
      <c r="C51" s="4"/>
      <c r="F51" s="490"/>
      <c r="G51" s="491"/>
      <c r="H51" s="491"/>
      <c r="I51" s="492"/>
      <c r="K51" s="484"/>
      <c r="L51" s="485"/>
      <c r="M51" s="485"/>
      <c r="N51" s="485"/>
      <c r="O51" s="485"/>
      <c r="P51" s="486"/>
      <c r="R51" s="509"/>
      <c r="S51" s="509"/>
      <c r="T51" s="509"/>
      <c r="V51" s="407">
        <v>1</v>
      </c>
      <c r="W51" s="408"/>
      <c r="X51" s="412" t="s">
        <v>310</v>
      </c>
      <c r="Y51" s="412"/>
      <c r="Z51" s="412"/>
      <c r="AA51" s="412"/>
      <c r="AB51" s="412"/>
      <c r="AC51" s="413"/>
    </row>
    <row r="52" spans="3:29" s="3" customFormat="1" ht="30" customHeight="1" x14ac:dyDescent="0.2">
      <c r="C52" s="4"/>
      <c r="F52" s="490"/>
      <c r="G52" s="491"/>
      <c r="H52" s="491"/>
      <c r="I52" s="492"/>
      <c r="K52" s="481" t="s">
        <v>627</v>
      </c>
      <c r="L52" s="482"/>
      <c r="M52" s="482"/>
      <c r="N52" s="482"/>
      <c r="O52" s="482"/>
      <c r="P52" s="483"/>
      <c r="R52" s="509"/>
      <c r="S52" s="509"/>
      <c r="T52" s="509"/>
      <c r="V52" s="428">
        <v>2</v>
      </c>
      <c r="W52" s="429"/>
      <c r="X52" s="432" t="s">
        <v>441</v>
      </c>
      <c r="Y52" s="432"/>
      <c r="Z52" s="432"/>
      <c r="AA52" s="432"/>
      <c r="AB52" s="432"/>
      <c r="AC52" s="433"/>
    </row>
    <row r="53" spans="3:29" s="3" customFormat="1" ht="33" customHeight="1" x14ac:dyDescent="0.2">
      <c r="C53" s="4"/>
      <c r="F53" s="490"/>
      <c r="G53" s="491"/>
      <c r="H53" s="491"/>
      <c r="I53" s="492"/>
      <c r="K53" s="484"/>
      <c r="L53" s="485"/>
      <c r="M53" s="485"/>
      <c r="N53" s="485"/>
      <c r="O53" s="485"/>
      <c r="P53" s="486"/>
      <c r="R53" s="509"/>
      <c r="S53" s="509"/>
      <c r="T53" s="509"/>
      <c r="V53" s="430"/>
      <c r="W53" s="431"/>
      <c r="X53" s="434"/>
      <c r="Y53" s="434"/>
      <c r="Z53" s="434"/>
      <c r="AA53" s="434"/>
      <c r="AB53" s="434"/>
      <c r="AC53" s="435"/>
    </row>
    <row r="54" spans="3:29" s="3" customFormat="1" ht="30" customHeight="1" x14ac:dyDescent="0.2">
      <c r="C54" s="4"/>
      <c r="F54" s="490"/>
      <c r="G54" s="491"/>
      <c r="H54" s="491"/>
      <c r="I54" s="492"/>
      <c r="K54" s="476" t="s">
        <v>444</v>
      </c>
      <c r="L54" s="459"/>
      <c r="M54" s="459"/>
      <c r="N54" s="459"/>
      <c r="O54" s="459"/>
      <c r="P54" s="477"/>
      <c r="R54" s="509"/>
      <c r="S54" s="509"/>
      <c r="T54" s="509"/>
      <c r="V54" s="407">
        <v>12</v>
      </c>
      <c r="W54" s="408"/>
      <c r="X54" s="412" t="s">
        <v>442</v>
      </c>
      <c r="Y54" s="412"/>
      <c r="Z54" s="412"/>
      <c r="AA54" s="412"/>
      <c r="AB54" s="412"/>
      <c r="AC54" s="413"/>
    </row>
    <row r="55" spans="3:29" s="3" customFormat="1" ht="21.95" customHeight="1" x14ac:dyDescent="0.2">
      <c r="C55" s="4"/>
      <c r="F55" s="490"/>
      <c r="G55" s="491"/>
      <c r="H55" s="491"/>
      <c r="I55" s="492"/>
      <c r="K55" s="481" t="s">
        <v>365</v>
      </c>
      <c r="L55" s="482"/>
      <c r="M55" s="482"/>
      <c r="N55" s="482"/>
      <c r="O55" s="482"/>
      <c r="P55" s="483"/>
      <c r="R55" s="509"/>
      <c r="S55" s="509"/>
      <c r="T55" s="509"/>
      <c r="V55" s="428">
        <v>1</v>
      </c>
      <c r="W55" s="429"/>
      <c r="X55" s="436" t="s">
        <v>150</v>
      </c>
      <c r="Y55" s="436"/>
      <c r="Z55" s="436"/>
      <c r="AA55" s="436"/>
      <c r="AB55" s="436"/>
      <c r="AC55" s="437"/>
    </row>
    <row r="56" spans="3:29" s="3" customFormat="1" ht="21.95" customHeight="1" x14ac:dyDescent="0.2">
      <c r="C56" s="4"/>
      <c r="F56" s="484"/>
      <c r="G56" s="485"/>
      <c r="H56" s="485"/>
      <c r="I56" s="486"/>
      <c r="K56" s="484"/>
      <c r="L56" s="485"/>
      <c r="M56" s="485"/>
      <c r="N56" s="485"/>
      <c r="O56" s="485"/>
      <c r="P56" s="486"/>
      <c r="R56" s="509"/>
      <c r="S56" s="509"/>
      <c r="T56" s="509"/>
      <c r="V56" s="430"/>
      <c r="W56" s="431"/>
      <c r="X56" s="438"/>
      <c r="Y56" s="438"/>
      <c r="Z56" s="438"/>
      <c r="AA56" s="438"/>
      <c r="AB56" s="438"/>
      <c r="AC56" s="439"/>
    </row>
    <row r="57" spans="3:29" s="3" customFormat="1" ht="45" customHeight="1" x14ac:dyDescent="0.2">
      <c r="C57" s="4"/>
      <c r="F57" s="509" t="s">
        <v>187</v>
      </c>
      <c r="G57" s="509"/>
      <c r="H57" s="509"/>
      <c r="I57" s="509"/>
      <c r="K57" s="476" t="s">
        <v>188</v>
      </c>
      <c r="L57" s="459"/>
      <c r="M57" s="459"/>
      <c r="N57" s="459"/>
      <c r="O57" s="459"/>
      <c r="P57" s="477"/>
      <c r="R57" s="509"/>
      <c r="S57" s="509"/>
      <c r="T57" s="509"/>
      <c r="V57" s="424">
        <v>1</v>
      </c>
      <c r="W57" s="425"/>
      <c r="X57" s="412" t="s">
        <v>154</v>
      </c>
      <c r="Y57" s="412"/>
      <c r="Z57" s="412"/>
      <c r="AA57" s="412"/>
      <c r="AB57" s="412"/>
      <c r="AC57" s="413"/>
    </row>
    <row r="58" spans="3:29" s="3" customFormat="1" ht="39" customHeight="1" x14ac:dyDescent="0.2">
      <c r="C58" s="4"/>
      <c r="F58" s="509"/>
      <c r="G58" s="509"/>
      <c r="H58" s="509"/>
      <c r="I58" s="509"/>
      <c r="K58" s="476" t="s">
        <v>189</v>
      </c>
      <c r="L58" s="459"/>
      <c r="M58" s="459"/>
      <c r="N58" s="459"/>
      <c r="O58" s="459"/>
      <c r="P58" s="477"/>
      <c r="R58" s="509"/>
      <c r="S58" s="509"/>
      <c r="T58" s="509"/>
      <c r="V58" s="424">
        <v>1</v>
      </c>
      <c r="W58" s="425"/>
      <c r="X58" s="412" t="s">
        <v>156</v>
      </c>
      <c r="Y58" s="412"/>
      <c r="Z58" s="412"/>
      <c r="AA58" s="412"/>
      <c r="AB58" s="412"/>
      <c r="AC58" s="413"/>
    </row>
    <row r="59" spans="3:29" s="3" customFormat="1" ht="39" customHeight="1" x14ac:dyDescent="0.2">
      <c r="C59" s="4"/>
      <c r="F59" s="509"/>
      <c r="G59" s="509"/>
      <c r="H59" s="509"/>
      <c r="I59" s="509"/>
      <c r="K59" s="476" t="s">
        <v>190</v>
      </c>
      <c r="L59" s="459"/>
      <c r="M59" s="459"/>
      <c r="N59" s="459"/>
      <c r="O59" s="459"/>
      <c r="P59" s="477"/>
      <c r="R59" s="509"/>
      <c r="S59" s="509"/>
      <c r="T59" s="509"/>
      <c r="V59" s="424">
        <v>1</v>
      </c>
      <c r="W59" s="425"/>
      <c r="X59" s="412" t="s">
        <v>158</v>
      </c>
      <c r="Y59" s="412"/>
      <c r="Z59" s="412"/>
      <c r="AA59" s="412"/>
      <c r="AB59" s="412"/>
      <c r="AC59" s="413"/>
    </row>
    <row r="60" spans="3:29" s="3" customFormat="1" ht="37.5" customHeight="1" x14ac:dyDescent="0.2">
      <c r="C60" s="4"/>
      <c r="F60" s="509"/>
      <c r="G60" s="509"/>
      <c r="H60" s="509"/>
      <c r="I60" s="509"/>
      <c r="K60" s="476" t="s">
        <v>191</v>
      </c>
      <c r="L60" s="459"/>
      <c r="M60" s="459"/>
      <c r="N60" s="459"/>
      <c r="O60" s="459"/>
      <c r="P60" s="477"/>
      <c r="R60" s="509"/>
      <c r="S60" s="509"/>
      <c r="T60" s="509"/>
      <c r="V60" s="424">
        <v>1</v>
      </c>
      <c r="W60" s="425"/>
      <c r="X60" s="412" t="s">
        <v>192</v>
      </c>
      <c r="Y60" s="412"/>
      <c r="Z60" s="412"/>
      <c r="AA60" s="412"/>
      <c r="AB60" s="412"/>
      <c r="AC60" s="413"/>
    </row>
    <row r="61" spans="3:29" s="3" customFormat="1" ht="40.5" customHeight="1" x14ac:dyDescent="0.2">
      <c r="C61" s="4"/>
      <c r="F61" s="509"/>
      <c r="G61" s="509"/>
      <c r="H61" s="509"/>
      <c r="I61" s="509"/>
      <c r="K61" s="476" t="s">
        <v>193</v>
      </c>
      <c r="L61" s="459"/>
      <c r="M61" s="459"/>
      <c r="N61" s="459"/>
      <c r="O61" s="459"/>
      <c r="P61" s="477"/>
      <c r="R61" s="509"/>
      <c r="S61" s="509"/>
      <c r="T61" s="509"/>
      <c r="V61" s="424">
        <v>1</v>
      </c>
      <c r="W61" s="425"/>
      <c r="X61" s="412" t="s">
        <v>194</v>
      </c>
      <c r="Y61" s="412"/>
      <c r="Z61" s="412"/>
      <c r="AA61" s="412"/>
      <c r="AB61" s="412"/>
      <c r="AC61" s="413"/>
    </row>
    <row r="62" spans="3:29" s="3" customFormat="1" ht="15.75" customHeight="1" x14ac:dyDescent="0.2">
      <c r="C62" s="4"/>
      <c r="V62" s="426" t="s">
        <v>303</v>
      </c>
      <c r="W62" s="426"/>
      <c r="X62" s="426"/>
      <c r="Y62" s="426"/>
      <c r="Z62" s="426"/>
      <c r="AA62" s="426"/>
      <c r="AB62" s="426"/>
      <c r="AC62" s="426"/>
    </row>
    <row r="63" spans="3:29" s="3" customFormat="1" ht="15.75" x14ac:dyDescent="0.2">
      <c r="C63" s="4"/>
      <c r="V63" s="426"/>
      <c r="W63" s="426"/>
      <c r="X63" s="426"/>
      <c r="Y63" s="426"/>
      <c r="Z63" s="426"/>
      <c r="AA63" s="426"/>
      <c r="AB63" s="426"/>
      <c r="AC63" s="426"/>
    </row>
    <row r="64" spans="3:29" s="3" customFormat="1" ht="15.75" x14ac:dyDescent="0.2">
      <c r="C64" s="4"/>
      <c r="V64" s="426"/>
      <c r="W64" s="426"/>
      <c r="X64" s="426"/>
      <c r="Y64" s="426"/>
      <c r="Z64" s="426"/>
      <c r="AA64" s="426"/>
      <c r="AB64" s="426"/>
      <c r="AC64" s="426"/>
    </row>
    <row r="65" spans="3:31" s="3" customFormat="1" ht="15.75" x14ac:dyDescent="0.2">
      <c r="C65" s="4"/>
      <c r="V65" s="31"/>
      <c r="W65" s="31"/>
      <c r="X65" s="31"/>
      <c r="Y65" s="31"/>
      <c r="Z65" s="31"/>
      <c r="AA65" s="31"/>
      <c r="AB65" s="31"/>
      <c r="AC65" s="31"/>
    </row>
    <row r="66" spans="3:31" s="3" customFormat="1" ht="22.5" customHeight="1" x14ac:dyDescent="0.2">
      <c r="C66" s="4"/>
      <c r="D66" s="386"/>
      <c r="E66" s="386"/>
      <c r="F66" s="3" t="s">
        <v>166</v>
      </c>
    </row>
    <row r="67" spans="3:31" s="3" customFormat="1" ht="45" customHeight="1" x14ac:dyDescent="0.2">
      <c r="C67" s="4"/>
      <c r="F67" s="509" t="s">
        <v>167</v>
      </c>
      <c r="G67" s="509"/>
      <c r="H67" s="509"/>
      <c r="I67" s="509"/>
      <c r="K67" s="476" t="s">
        <v>625</v>
      </c>
      <c r="L67" s="459"/>
      <c r="M67" s="459"/>
      <c r="N67" s="459"/>
      <c r="O67" s="459"/>
      <c r="P67" s="477"/>
      <c r="R67" s="1193" t="s">
        <v>195</v>
      </c>
      <c r="S67" s="1194"/>
      <c r="T67" s="1194"/>
      <c r="V67" s="887">
        <v>1</v>
      </c>
      <c r="W67" s="888"/>
      <c r="X67" s="409" t="s">
        <v>623</v>
      </c>
      <c r="Y67" s="409"/>
      <c r="Z67" s="409"/>
      <c r="AA67" s="409"/>
      <c r="AB67" s="409"/>
      <c r="AC67" s="410"/>
    </row>
    <row r="68" spans="3:31" s="3" customFormat="1" ht="12.75" customHeight="1" x14ac:dyDescent="0.2">
      <c r="C68" s="4"/>
      <c r="V68" s="426" t="s">
        <v>133</v>
      </c>
      <c r="W68" s="426"/>
      <c r="X68" s="426"/>
      <c r="Y68" s="426"/>
      <c r="Z68" s="426"/>
      <c r="AA68" s="426"/>
      <c r="AB68" s="426"/>
      <c r="AC68" s="426"/>
    </row>
    <row r="69" spans="3:31" s="3" customFormat="1" ht="25.5" customHeight="1" x14ac:dyDescent="0.2">
      <c r="C69" s="4"/>
      <c r="V69" s="426"/>
      <c r="W69" s="426"/>
      <c r="X69" s="426"/>
      <c r="Y69" s="426"/>
      <c r="Z69" s="426"/>
      <c r="AA69" s="426"/>
      <c r="AB69" s="426"/>
      <c r="AC69" s="426"/>
    </row>
    <row r="70" spans="3:31" s="3" customFormat="1" ht="15.75" x14ac:dyDescent="0.2">
      <c r="C70" s="4"/>
      <c r="D70" s="386"/>
      <c r="E70" s="386"/>
      <c r="F70" s="3" t="s">
        <v>169</v>
      </c>
    </row>
    <row r="71" spans="3:31" s="3" customFormat="1" ht="12.75" customHeight="1" x14ac:dyDescent="0.2">
      <c r="C71" s="4"/>
      <c r="W71" s="7"/>
      <c r="AB71" s="7"/>
      <c r="AC71" s="7"/>
    </row>
    <row r="72" spans="3:31" s="3" customFormat="1" ht="45" customHeight="1" x14ac:dyDescent="0.2">
      <c r="D72" s="18"/>
      <c r="E72" s="18"/>
      <c r="F72" s="509" t="s">
        <v>170</v>
      </c>
      <c r="G72" s="509"/>
      <c r="H72" s="509"/>
      <c r="J72" s="476" t="s">
        <v>196</v>
      </c>
      <c r="K72" s="459"/>
      <c r="L72" s="459"/>
      <c r="M72" s="459"/>
      <c r="N72" s="459"/>
      <c r="O72" s="477"/>
      <c r="P72" s="35">
        <v>1</v>
      </c>
      <c r="Q72" s="409" t="s">
        <v>197</v>
      </c>
      <c r="R72" s="409"/>
      <c r="S72" s="410"/>
      <c r="U72" s="1193" t="s">
        <v>198</v>
      </c>
      <c r="V72" s="1193"/>
      <c r="W72" s="7"/>
      <c r="X72" s="269">
        <v>1</v>
      </c>
      <c r="Y72" s="409" t="s">
        <v>199</v>
      </c>
      <c r="Z72" s="409"/>
      <c r="AA72" s="410"/>
      <c r="AB72" s="7"/>
      <c r="AC72" s="7"/>
    </row>
    <row r="73" spans="3:31" s="3" customFormat="1" ht="15.75" customHeight="1" x14ac:dyDescent="0.2">
      <c r="D73" s="18"/>
      <c r="E73" s="18"/>
      <c r="F73" s="7"/>
      <c r="G73" s="7"/>
      <c r="H73" s="7"/>
      <c r="I73" s="7"/>
      <c r="J73" s="7"/>
      <c r="K73" s="7"/>
      <c r="L73" s="7"/>
      <c r="M73" s="7"/>
      <c r="N73" s="7"/>
      <c r="O73" s="7"/>
      <c r="P73" s="7"/>
      <c r="Q73" s="7"/>
      <c r="R73" s="7"/>
      <c r="S73" s="7"/>
      <c r="T73" s="7"/>
      <c r="U73" s="7"/>
      <c r="V73" s="7"/>
      <c r="W73" s="7"/>
      <c r="X73" s="7"/>
      <c r="Y73" s="7"/>
      <c r="Z73" s="7"/>
      <c r="AA73" s="7"/>
      <c r="AB73" s="7"/>
      <c r="AC73" s="7"/>
    </row>
    <row r="74" spans="3:31" s="3" customFormat="1" ht="15.75" customHeight="1" x14ac:dyDescent="0.2">
      <c r="D74" s="18"/>
      <c r="E74" s="18"/>
      <c r="F74" s="7"/>
      <c r="G74" s="7"/>
      <c r="H74" s="7"/>
      <c r="I74" s="7"/>
      <c r="J74" s="22"/>
      <c r="K74" s="7"/>
      <c r="L74" s="7"/>
      <c r="M74" s="7"/>
      <c r="N74" s="7"/>
      <c r="O74" s="7"/>
      <c r="P74" s="7"/>
      <c r="Q74" s="7"/>
      <c r="R74" s="7"/>
      <c r="S74" s="7"/>
      <c r="T74" s="7"/>
      <c r="U74" s="7"/>
      <c r="V74" s="7"/>
      <c r="W74" s="7"/>
      <c r="X74" s="1151" t="s">
        <v>364</v>
      </c>
      <c r="Y74" s="1151"/>
      <c r="Z74" s="1151"/>
      <c r="AA74" s="1151"/>
      <c r="AB74" s="1151"/>
      <c r="AC74" s="1151"/>
      <c r="AD74" s="37"/>
      <c r="AE74" s="37"/>
    </row>
    <row r="75" spans="3:31" s="3" customFormat="1" ht="15.75" customHeight="1" x14ac:dyDescent="0.2">
      <c r="D75" s="18"/>
      <c r="E75" s="18"/>
      <c r="F75" s="7"/>
      <c r="G75" s="7"/>
      <c r="H75" s="7"/>
      <c r="I75" s="7"/>
      <c r="J75" s="22"/>
      <c r="K75" s="7"/>
      <c r="L75" s="7"/>
      <c r="M75" s="7"/>
      <c r="N75" s="7"/>
      <c r="O75" s="7"/>
      <c r="P75" s="7"/>
      <c r="Q75" s="7"/>
      <c r="R75" s="7"/>
      <c r="S75" s="7"/>
      <c r="T75" s="7"/>
      <c r="U75" s="7"/>
      <c r="V75" s="7"/>
      <c r="W75" s="7"/>
      <c r="X75" s="1151"/>
      <c r="Y75" s="1151"/>
      <c r="Z75" s="1151"/>
      <c r="AA75" s="1151"/>
      <c r="AB75" s="1151"/>
      <c r="AC75" s="1151"/>
      <c r="AD75" s="37"/>
      <c r="AE75" s="37"/>
    </row>
    <row r="76" spans="3:31" s="3" customFormat="1" ht="7.5" customHeight="1" x14ac:dyDescent="0.2">
      <c r="D76" s="18"/>
      <c r="E76" s="18"/>
      <c r="F76" s="7"/>
      <c r="G76" s="7"/>
      <c r="H76" s="7"/>
      <c r="I76" s="7"/>
      <c r="J76" s="38"/>
      <c r="K76" s="7"/>
      <c r="L76" s="7"/>
      <c r="M76" s="7"/>
      <c r="N76" s="7"/>
      <c r="O76" s="7"/>
      <c r="P76" s="7"/>
      <c r="Q76" s="7"/>
      <c r="R76" s="7"/>
      <c r="S76" s="7"/>
      <c r="T76" s="7"/>
      <c r="U76" s="7"/>
      <c r="V76" s="7"/>
      <c r="W76" s="7"/>
      <c r="X76" s="1151"/>
      <c r="Y76" s="1151"/>
      <c r="Z76" s="1151"/>
      <c r="AA76" s="1151"/>
      <c r="AB76" s="1151"/>
      <c r="AC76" s="1151"/>
    </row>
  </sheetData>
  <sheetProtection sheet="1"/>
  <mergeCells count="181">
    <mergeCell ref="V32:Y32"/>
    <mergeCell ref="C2:H2"/>
    <mergeCell ref="J2:O2"/>
    <mergeCell ref="Q2:V2"/>
    <mergeCell ref="X2:AB2"/>
    <mergeCell ref="M18:N19"/>
    <mergeCell ref="M23:N23"/>
    <mergeCell ref="B19:C19"/>
    <mergeCell ref="D19:E19"/>
    <mergeCell ref="B21:C21"/>
    <mergeCell ref="B22:C22"/>
    <mergeCell ref="D21:E21"/>
    <mergeCell ref="C26:H26"/>
    <mergeCell ref="M24:N24"/>
    <mergeCell ref="J18:K19"/>
    <mergeCell ref="J21:K21"/>
    <mergeCell ref="J22:K22"/>
    <mergeCell ref="J23:K23"/>
    <mergeCell ref="G21:H21"/>
    <mergeCell ref="G22:H22"/>
    <mergeCell ref="V30:Y30"/>
    <mergeCell ref="V31:Y31"/>
    <mergeCell ref="J26:Y26"/>
    <mergeCell ref="V27:Y27"/>
    <mergeCell ref="D36:E36"/>
    <mergeCell ref="R27:U27"/>
    <mergeCell ref="R28:U28"/>
    <mergeCell ref="R29:U29"/>
    <mergeCell ref="R30:U30"/>
    <mergeCell ref="R31:U31"/>
    <mergeCell ref="N27:Q27"/>
    <mergeCell ref="C32:F32"/>
    <mergeCell ref="G32:H32"/>
    <mergeCell ref="J32:M32"/>
    <mergeCell ref="G31:H31"/>
    <mergeCell ref="J28:M28"/>
    <mergeCell ref="J29:M29"/>
    <mergeCell ref="J30:M30"/>
    <mergeCell ref="N32:Q32"/>
    <mergeCell ref="R32:U32"/>
    <mergeCell ref="J27:M27"/>
    <mergeCell ref="G27:H27"/>
    <mergeCell ref="G28:H28"/>
    <mergeCell ref="C27:F27"/>
    <mergeCell ref="C28:F28"/>
    <mergeCell ref="C29:F29"/>
    <mergeCell ref="C30:F30"/>
    <mergeCell ref="C31:F31"/>
    <mergeCell ref="F39:T39"/>
    <mergeCell ref="V39:AC39"/>
    <mergeCell ref="F41:I47"/>
    <mergeCell ref="K41:P42"/>
    <mergeCell ref="R41:T61"/>
    <mergeCell ref="V41:W41"/>
    <mergeCell ref="X41:AC41"/>
    <mergeCell ref="V42:W42"/>
    <mergeCell ref="X42:AC42"/>
    <mergeCell ref="K43:P44"/>
    <mergeCell ref="K46:P46"/>
    <mergeCell ref="V46:W46"/>
    <mergeCell ref="X46:AC46"/>
    <mergeCell ref="K47:P47"/>
    <mergeCell ref="V47:W47"/>
    <mergeCell ref="X47:AC47"/>
    <mergeCell ref="V43:W43"/>
    <mergeCell ref="X43:AC43"/>
    <mergeCell ref="V44:W44"/>
    <mergeCell ref="X44:AC44"/>
    <mergeCell ref="K45:P45"/>
    <mergeCell ref="V45:W45"/>
    <mergeCell ref="X45:AC45"/>
    <mergeCell ref="F48:I56"/>
    <mergeCell ref="K52:P53"/>
    <mergeCell ref="V52:W53"/>
    <mergeCell ref="X52:AC53"/>
    <mergeCell ref="K54:P54"/>
    <mergeCell ref="V54:W54"/>
    <mergeCell ref="X54:AC54"/>
    <mergeCell ref="K48:P49"/>
    <mergeCell ref="V48:W48"/>
    <mergeCell ref="X48:AC48"/>
    <mergeCell ref="V49:W49"/>
    <mergeCell ref="X49:AC49"/>
    <mergeCell ref="K50:P51"/>
    <mergeCell ref="V50:W50"/>
    <mergeCell ref="X50:AC50"/>
    <mergeCell ref="V51:W51"/>
    <mergeCell ref="X51:AC51"/>
    <mergeCell ref="D66:E66"/>
    <mergeCell ref="K59:P59"/>
    <mergeCell ref="V59:W59"/>
    <mergeCell ref="X59:AC59"/>
    <mergeCell ref="K60:P60"/>
    <mergeCell ref="V60:W60"/>
    <mergeCell ref="X60:AC60"/>
    <mergeCell ref="F57:I61"/>
    <mergeCell ref="K57:P57"/>
    <mergeCell ref="V57:W57"/>
    <mergeCell ref="K58:P58"/>
    <mergeCell ref="V58:W58"/>
    <mergeCell ref="X58:AC58"/>
    <mergeCell ref="F72:H72"/>
    <mergeCell ref="J72:O72"/>
    <mergeCell ref="Q72:S72"/>
    <mergeCell ref="U72:V72"/>
    <mergeCell ref="Y72:AA72"/>
    <mergeCell ref="V68:AC69"/>
    <mergeCell ref="D70:E70"/>
    <mergeCell ref="F67:I67"/>
    <mergeCell ref="K67:P67"/>
    <mergeCell ref="R67:T67"/>
    <mergeCell ref="V67:W67"/>
    <mergeCell ref="X67:AC67"/>
    <mergeCell ref="X74:AC76"/>
    <mergeCell ref="K61:P61"/>
    <mergeCell ref="V61:W61"/>
    <mergeCell ref="X61:AC61"/>
    <mergeCell ref="V62:AC64"/>
    <mergeCell ref="K55:P56"/>
    <mergeCell ref="V55:W56"/>
    <mergeCell ref="X55:AC56"/>
    <mergeCell ref="X57:AC57"/>
    <mergeCell ref="V28:Y28"/>
    <mergeCell ref="V29:Y29"/>
    <mergeCell ref="N28:Q28"/>
    <mergeCell ref="N29:Q29"/>
    <mergeCell ref="N30:Q30"/>
    <mergeCell ref="N31:Q31"/>
    <mergeCell ref="J31:M31"/>
    <mergeCell ref="J24:K24"/>
    <mergeCell ref="S9:X10"/>
    <mergeCell ref="S12:T12"/>
    <mergeCell ref="G9:Q10"/>
    <mergeCell ref="G12:J12"/>
    <mergeCell ref="L12:Q12"/>
    <mergeCell ref="G13:J13"/>
    <mergeCell ref="L13:Q13"/>
    <mergeCell ref="T21:U21"/>
    <mergeCell ref="S13:T13"/>
    <mergeCell ref="U12:X12"/>
    <mergeCell ref="U13:X13"/>
    <mergeCell ref="W23:X23"/>
    <mergeCell ref="R21:S21"/>
    <mergeCell ref="T22:U22"/>
    <mergeCell ref="T23:U23"/>
    <mergeCell ref="W21:X21"/>
    <mergeCell ref="W22:X22"/>
    <mergeCell ref="B16:N16"/>
    <mergeCell ref="M21:N21"/>
    <mergeCell ref="M22:N22"/>
    <mergeCell ref="B18:E18"/>
    <mergeCell ref="G18:H19"/>
    <mergeCell ref="T24:U24"/>
    <mergeCell ref="R16:AD16"/>
    <mergeCell ref="R18:U18"/>
    <mergeCell ref="R19:S19"/>
    <mergeCell ref="T19:U19"/>
    <mergeCell ref="W18:X19"/>
    <mergeCell ref="Z18:AA19"/>
    <mergeCell ref="W24:X24"/>
    <mergeCell ref="Z24:AA24"/>
    <mergeCell ref="AC24:AD24"/>
    <mergeCell ref="Z23:AA23"/>
    <mergeCell ref="AC23:AD23"/>
    <mergeCell ref="AC18:AD19"/>
    <mergeCell ref="Z21:AA21"/>
    <mergeCell ref="AC21:AD21"/>
    <mergeCell ref="Z22:AA22"/>
    <mergeCell ref="AC22:AD22"/>
    <mergeCell ref="R22:S22"/>
    <mergeCell ref="R23:S23"/>
    <mergeCell ref="R24:S24"/>
    <mergeCell ref="G23:H23"/>
    <mergeCell ref="G24:H24"/>
    <mergeCell ref="G29:H29"/>
    <mergeCell ref="G30:H30"/>
    <mergeCell ref="B23:C23"/>
    <mergeCell ref="B24:C24"/>
    <mergeCell ref="D22:E22"/>
    <mergeCell ref="D23:E23"/>
    <mergeCell ref="D24:E24"/>
  </mergeCells>
  <phoneticPr fontId="3" type="noConversion"/>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ilha9"/>
  <dimension ref="B2:AQ94"/>
  <sheetViews>
    <sheetView topLeftCell="C17" zoomScaleNormal="100" workbookViewId="0">
      <selection activeCell="P17" sqref="P17:R18"/>
    </sheetView>
  </sheetViews>
  <sheetFormatPr defaultColWidth="5.125" defaultRowHeight="14.25" x14ac:dyDescent="0.2"/>
  <cols>
    <col min="1" max="1" width="2.625" style="243" customWidth="1"/>
    <col min="2" max="2" width="5.125" style="243" customWidth="1"/>
    <col min="3" max="3" width="5.5" style="243" customWidth="1"/>
    <col min="4" max="4" width="5.125" style="243" customWidth="1"/>
    <col min="5" max="5" width="5.375" style="243" customWidth="1"/>
    <col min="6" max="6" width="1.625" style="243" customWidth="1"/>
    <col min="7" max="10" width="5.125" style="243" customWidth="1"/>
    <col min="11" max="11" width="5.75" style="243" customWidth="1"/>
    <col min="12" max="12" width="1.625" style="243" customWidth="1"/>
    <col min="13" max="17" width="5.125" style="243" customWidth="1"/>
    <col min="18" max="18" width="5.625" style="243" customWidth="1"/>
    <col min="19" max="20" width="5.125" style="243" customWidth="1"/>
    <col min="21" max="22" width="4.75" style="243" customWidth="1"/>
    <col min="23" max="24" width="6.125" style="243" customWidth="1"/>
    <col min="25" max="31" width="5.125" style="243" customWidth="1"/>
    <col min="32" max="32" width="1.625" style="243" customWidth="1"/>
    <col min="33" max="35" width="5.125" style="243"/>
    <col min="36" max="38" width="5.125" style="243" customWidth="1"/>
    <col min="39" max="39" width="5.875" style="243" customWidth="1"/>
    <col min="40" max="43" width="5.125" style="243" customWidth="1"/>
    <col min="44" max="16384" width="5.125" style="243"/>
  </cols>
  <sheetData>
    <row r="2" spans="2:43"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139"/>
      <c r="AD2" s="190"/>
      <c r="AE2" s="191"/>
    </row>
    <row r="4" spans="2:43" s="3" customFormat="1" ht="15" customHeight="1" x14ac:dyDescent="0.25">
      <c r="B4" s="245" t="s">
        <v>262</v>
      </c>
      <c r="D4" s="11"/>
      <c r="E4" s="11"/>
    </row>
    <row r="5" spans="2:43" s="3" customFormat="1" ht="15" customHeight="1" x14ac:dyDescent="0.25">
      <c r="B5" s="245"/>
      <c r="D5" s="11"/>
      <c r="E5" s="11"/>
    </row>
    <row r="6" spans="2:43" ht="15" customHeight="1" x14ac:dyDescent="0.25">
      <c r="B6" s="245" t="s">
        <v>567</v>
      </c>
    </row>
    <row r="7" spans="2:43" s="3" customFormat="1" ht="15" customHeight="1" x14ac:dyDescent="0.25">
      <c r="B7" s="245"/>
      <c r="D7" s="11"/>
      <c r="E7" s="11"/>
    </row>
    <row r="8" spans="2:43" s="3" customFormat="1" ht="7.5" customHeight="1" x14ac:dyDescent="0.25">
      <c r="B8" s="245"/>
      <c r="D8" s="11"/>
      <c r="E8" s="11"/>
    </row>
    <row r="9" spans="2:43" s="22" customFormat="1" ht="15" customHeight="1" x14ac:dyDescent="0.2">
      <c r="B9" s="1245" t="s">
        <v>593</v>
      </c>
      <c r="C9" s="1245"/>
      <c r="D9" s="1245"/>
      <c r="E9" s="1245"/>
      <c r="F9" s="1245"/>
      <c r="G9" s="1245"/>
      <c r="H9" s="1245"/>
      <c r="I9" s="1245"/>
      <c r="J9" s="1245"/>
      <c r="K9" s="1245"/>
      <c r="L9" s="23"/>
      <c r="M9" s="640" t="s">
        <v>271</v>
      </c>
      <c r="N9" s="640"/>
      <c r="O9" s="640"/>
      <c r="P9" s="640"/>
      <c r="Q9" s="640"/>
      <c r="R9" s="640"/>
      <c r="S9" s="640" t="s">
        <v>580</v>
      </c>
      <c r="T9" s="640"/>
      <c r="U9" s="640"/>
      <c r="V9" s="48"/>
      <c r="W9" s="1251" t="s">
        <v>548</v>
      </c>
      <c r="X9" s="1251"/>
      <c r="Y9" s="1251"/>
      <c r="Z9" s="1251"/>
      <c r="AA9" s="1251"/>
      <c r="AB9" s="1251"/>
      <c r="AC9" s="1251"/>
      <c r="AD9" s="1251"/>
      <c r="AE9" s="1251"/>
      <c r="AF9" s="1251"/>
      <c r="AG9" s="1251"/>
      <c r="AH9" s="1251"/>
    </row>
    <row r="10" spans="2:43" s="22" customFormat="1" ht="15.75" customHeight="1" x14ac:dyDescent="0.2">
      <c r="B10" s="1246" t="s">
        <v>581</v>
      </c>
      <c r="C10" s="1247"/>
      <c r="D10" s="1247"/>
      <c r="E10" s="1248"/>
      <c r="F10" s="196"/>
      <c r="L10" s="23"/>
      <c r="M10" s="640"/>
      <c r="N10" s="640"/>
      <c r="O10" s="640"/>
      <c r="P10" s="640"/>
      <c r="Q10" s="640"/>
      <c r="R10" s="640"/>
      <c r="S10" s="640"/>
      <c r="T10" s="640"/>
      <c r="U10" s="640"/>
      <c r="V10" s="48"/>
      <c r="W10" s="1251"/>
      <c r="X10" s="1251"/>
      <c r="Y10" s="1251"/>
      <c r="Z10" s="1251"/>
      <c r="AA10" s="1251"/>
      <c r="AB10" s="1251"/>
      <c r="AC10" s="1251"/>
      <c r="AD10" s="1251"/>
      <c r="AE10" s="1251"/>
      <c r="AF10" s="1251"/>
      <c r="AG10" s="1251"/>
      <c r="AH10" s="1251"/>
    </row>
    <row r="11" spans="2:43" s="22" customFormat="1" ht="5.0999999999999996" customHeight="1" x14ac:dyDescent="0.2">
      <c r="H11" s="23"/>
      <c r="I11" s="23"/>
      <c r="J11" s="23"/>
      <c r="K11" s="23"/>
      <c r="L11" s="23"/>
      <c r="M11" s="48"/>
      <c r="N11" s="48"/>
      <c r="O11" s="48"/>
      <c r="P11" s="48"/>
      <c r="Q11" s="48"/>
      <c r="R11" s="48"/>
      <c r="T11" s="48"/>
      <c r="U11" s="48"/>
      <c r="V11" s="48"/>
      <c r="Z11" s="23"/>
      <c r="AA11" s="23"/>
      <c r="AB11" s="23"/>
      <c r="AC11" s="196"/>
      <c r="AD11" s="196"/>
      <c r="AE11" s="196"/>
      <c r="AF11" s="196"/>
      <c r="AG11" s="196"/>
      <c r="AH11" s="196"/>
    </row>
    <row r="12" spans="2:43" s="22" customFormat="1" ht="30" customHeight="1" x14ac:dyDescent="0.2">
      <c r="B12" s="476" t="s">
        <v>263</v>
      </c>
      <c r="C12" s="477"/>
      <c r="D12" s="476" t="s">
        <v>264</v>
      </c>
      <c r="E12" s="477"/>
      <c r="F12" s="21"/>
      <c r="G12" s="828" t="s">
        <v>580</v>
      </c>
      <c r="H12" s="1250"/>
      <c r="I12" s="1250"/>
      <c r="J12" s="1250"/>
      <c r="K12" s="829"/>
      <c r="L12" s="23"/>
      <c r="M12" s="744" t="s">
        <v>631</v>
      </c>
      <c r="N12" s="744"/>
      <c r="O12" s="744"/>
      <c r="P12" s="744" t="s">
        <v>484</v>
      </c>
      <c r="Q12" s="744"/>
      <c r="R12" s="744"/>
      <c r="S12" s="1249">
        <v>0.2</v>
      </c>
      <c r="T12" s="1249"/>
      <c r="U12" s="1249"/>
      <c r="W12" s="693" t="s">
        <v>263</v>
      </c>
      <c r="X12" s="694"/>
      <c r="Y12" s="693" t="s">
        <v>229</v>
      </c>
      <c r="Z12" s="694"/>
      <c r="AA12" s="693" t="s">
        <v>230</v>
      </c>
      <c r="AB12" s="694"/>
      <c r="AC12" s="693" t="s">
        <v>231</v>
      </c>
      <c r="AD12" s="1228"/>
      <c r="AE12" s="694"/>
      <c r="AF12" s="693" t="s">
        <v>232</v>
      </c>
      <c r="AG12" s="1228"/>
      <c r="AH12" s="694"/>
      <c r="AJ12" s="827" t="s">
        <v>550</v>
      </c>
      <c r="AK12" s="827"/>
      <c r="AL12" s="237" t="s">
        <v>551</v>
      </c>
      <c r="AM12" s="237" t="s">
        <v>554</v>
      </c>
      <c r="AN12" s="237" t="s">
        <v>549</v>
      </c>
      <c r="AO12" s="237" t="s">
        <v>553</v>
      </c>
      <c r="AP12" s="237" t="s">
        <v>453</v>
      </c>
      <c r="AQ12" s="237" t="s">
        <v>552</v>
      </c>
    </row>
    <row r="13" spans="2:43" s="22" customFormat="1" ht="42.75" customHeight="1" x14ac:dyDescent="0.2">
      <c r="B13" s="476" t="s">
        <v>31</v>
      </c>
      <c r="C13" s="477"/>
      <c r="D13" s="1234">
        <v>8.0000000000000002E-3</v>
      </c>
      <c r="E13" s="1235"/>
      <c r="F13" s="21"/>
      <c r="G13" s="1189">
        <v>8.0000000000000002E-3</v>
      </c>
      <c r="H13" s="1190"/>
      <c r="I13" s="1239" t="s">
        <v>686</v>
      </c>
      <c r="J13" s="1239"/>
      <c r="K13" s="1240"/>
      <c r="L13" s="23"/>
      <c r="M13" s="744" t="s">
        <v>632</v>
      </c>
      <c r="N13" s="744"/>
      <c r="O13" s="744"/>
      <c r="P13" s="744" t="s">
        <v>485</v>
      </c>
      <c r="Q13" s="744"/>
      <c r="R13" s="744"/>
      <c r="S13" s="1249">
        <v>0.5</v>
      </c>
      <c r="T13" s="1249"/>
      <c r="U13" s="1249"/>
      <c r="V13" s="23"/>
      <c r="W13" s="693" t="s">
        <v>654</v>
      </c>
      <c r="X13" s="694"/>
      <c r="Y13" s="1265">
        <f>SUM(AQ13:AQ17)</f>
        <v>5.6021999999999998</v>
      </c>
      <c r="Z13" s="1266"/>
      <c r="AA13" s="1229">
        <f>SUM(AP13:AP17)</f>
        <v>28.011000000000003</v>
      </c>
      <c r="AB13" s="1231"/>
      <c r="AC13" s="1229">
        <f>SUM(AO13:AO17)</f>
        <v>56.022000000000006</v>
      </c>
      <c r="AD13" s="1230"/>
      <c r="AE13" s="1231"/>
      <c r="AF13" s="1229">
        <f>SUM(AN13:AN17)</f>
        <v>22.408799999999999</v>
      </c>
      <c r="AG13" s="1230"/>
      <c r="AH13" s="1231"/>
      <c r="AJ13" s="805" t="s">
        <v>31</v>
      </c>
      <c r="AK13" s="805"/>
      <c r="AL13" s="202">
        <f>SUM(CADASTRO!BS17)</f>
        <v>268</v>
      </c>
      <c r="AM13" s="203">
        <f t="shared" ref="AM13:AM19" si="0">AL13*G13</f>
        <v>2.1440000000000001</v>
      </c>
      <c r="AN13" s="204">
        <f>AM13*$S$12</f>
        <v>0.42880000000000007</v>
      </c>
      <c r="AO13" s="204">
        <f t="shared" ref="AO13:AO20" si="1">AM13*$S$13</f>
        <v>1.0720000000000001</v>
      </c>
      <c r="AP13" s="204">
        <f t="shared" ref="AP13:AP20" si="2">AM13*$S$14</f>
        <v>0.53600000000000003</v>
      </c>
      <c r="AQ13" s="204">
        <f t="shared" ref="AQ13:AQ20" si="3">AM13*$S$15</f>
        <v>0.10720000000000002</v>
      </c>
    </row>
    <row r="14" spans="2:43" s="22" customFormat="1" ht="30" customHeight="1" x14ac:dyDescent="0.2">
      <c r="B14" s="476" t="s">
        <v>489</v>
      </c>
      <c r="C14" s="477"/>
      <c r="D14" s="1234">
        <v>1.9E-2</v>
      </c>
      <c r="E14" s="1235"/>
      <c r="F14" s="21"/>
      <c r="G14" s="1237">
        <v>1.9E-2</v>
      </c>
      <c r="H14" s="1238"/>
      <c r="I14" s="680" t="s">
        <v>265</v>
      </c>
      <c r="J14" s="680"/>
      <c r="K14" s="1236"/>
      <c r="L14" s="23"/>
      <c r="M14" s="744" t="s">
        <v>619</v>
      </c>
      <c r="N14" s="744"/>
      <c r="O14" s="744"/>
      <c r="P14" s="744" t="s">
        <v>486</v>
      </c>
      <c r="Q14" s="744"/>
      <c r="R14" s="744"/>
      <c r="S14" s="1249">
        <v>0.25</v>
      </c>
      <c r="T14" s="1249"/>
      <c r="U14" s="1249"/>
      <c r="V14" s="23"/>
      <c r="W14" s="693" t="s">
        <v>358</v>
      </c>
      <c r="X14" s="694"/>
      <c r="Y14" s="1229">
        <f>SUM(AQ18:AQ19)</f>
        <v>1.4595000000000002</v>
      </c>
      <c r="Z14" s="1231"/>
      <c r="AA14" s="1229">
        <f>SUM(AP18:AP19)</f>
        <v>7.2975000000000012</v>
      </c>
      <c r="AB14" s="1231"/>
      <c r="AC14" s="1229">
        <f>SUM(AO18:AO19)</f>
        <v>14.595000000000002</v>
      </c>
      <c r="AD14" s="1230"/>
      <c r="AE14" s="1231"/>
      <c r="AF14" s="1229">
        <f>SUM(AN18:AN19)</f>
        <v>5.838000000000001</v>
      </c>
      <c r="AG14" s="1230"/>
      <c r="AH14" s="1231"/>
      <c r="AJ14" s="805" t="s">
        <v>489</v>
      </c>
      <c r="AK14" s="805"/>
      <c r="AL14" s="202">
        <f>CADASTRO!BS18+CADASTRO!BS19</f>
        <v>532</v>
      </c>
      <c r="AM14" s="203">
        <f t="shared" si="0"/>
        <v>10.108000000000001</v>
      </c>
      <c r="AN14" s="204">
        <f t="shared" ref="AN14:AN20" si="4">AM14*$S$12</f>
        <v>2.0216000000000003</v>
      </c>
      <c r="AO14" s="204">
        <f t="shared" si="1"/>
        <v>5.0540000000000003</v>
      </c>
      <c r="AP14" s="204">
        <f t="shared" si="2"/>
        <v>2.5270000000000001</v>
      </c>
      <c r="AQ14" s="204">
        <f t="shared" si="3"/>
        <v>0.50540000000000007</v>
      </c>
    </row>
    <row r="15" spans="2:43" s="22" customFormat="1" ht="30" customHeight="1" x14ac:dyDescent="0.2">
      <c r="B15" s="476" t="s">
        <v>490</v>
      </c>
      <c r="C15" s="477"/>
      <c r="D15" s="1234">
        <v>3.5999999999999997E-2</v>
      </c>
      <c r="E15" s="1235"/>
      <c r="F15" s="21"/>
      <c r="G15" s="1237">
        <v>3.5999999999999997E-2</v>
      </c>
      <c r="H15" s="1238"/>
      <c r="I15" s="680" t="s">
        <v>266</v>
      </c>
      <c r="J15" s="680"/>
      <c r="K15" s="1236"/>
      <c r="L15" s="23"/>
      <c r="M15" s="744" t="s">
        <v>633</v>
      </c>
      <c r="N15" s="744"/>
      <c r="O15" s="744"/>
      <c r="P15" s="744" t="s">
        <v>487</v>
      </c>
      <c r="Q15" s="744"/>
      <c r="R15" s="744"/>
      <c r="S15" s="1249">
        <v>0.05</v>
      </c>
      <c r="T15" s="1249"/>
      <c r="U15" s="1249"/>
      <c r="V15" s="23"/>
      <c r="W15" s="1252"/>
      <c r="X15" s="1252"/>
      <c r="Y15" s="1203"/>
      <c r="Z15" s="1203"/>
      <c r="AA15" s="1203"/>
      <c r="AB15" s="1203"/>
      <c r="AC15" s="1203"/>
      <c r="AD15" s="1203"/>
      <c r="AE15" s="1203"/>
      <c r="AF15" s="1203"/>
      <c r="AG15" s="1203"/>
      <c r="AH15" s="1203"/>
      <c r="AJ15" s="805" t="s">
        <v>490</v>
      </c>
      <c r="AK15" s="805"/>
      <c r="AL15" s="202">
        <f>CADASTRO!BS20+CADASTRO!BS21</f>
        <v>463</v>
      </c>
      <c r="AM15" s="203">
        <f t="shared" si="0"/>
        <v>16.667999999999999</v>
      </c>
      <c r="AN15" s="204">
        <f t="shared" si="4"/>
        <v>3.3336000000000001</v>
      </c>
      <c r="AO15" s="204">
        <f t="shared" si="1"/>
        <v>8.3339999999999996</v>
      </c>
      <c r="AP15" s="204">
        <f t="shared" si="2"/>
        <v>4.1669999999999998</v>
      </c>
      <c r="AQ15" s="204">
        <f t="shared" si="3"/>
        <v>0.83340000000000003</v>
      </c>
    </row>
    <row r="16" spans="2:43" s="22" customFormat="1" ht="30" customHeight="1" x14ac:dyDescent="0.2">
      <c r="B16" s="476" t="s">
        <v>493</v>
      </c>
      <c r="C16" s="477"/>
      <c r="D16" s="1234">
        <v>9.1999999999999998E-2</v>
      </c>
      <c r="E16" s="1235"/>
      <c r="F16" s="21"/>
      <c r="G16" s="1237">
        <v>9.1999999999999998E-2</v>
      </c>
      <c r="H16" s="1238"/>
      <c r="I16" s="680" t="s">
        <v>267</v>
      </c>
      <c r="J16" s="680"/>
      <c r="K16" s="1236"/>
      <c r="L16" s="23"/>
      <c r="S16" s="23"/>
      <c r="V16" s="23"/>
      <c r="AJ16" s="805" t="s">
        <v>493</v>
      </c>
      <c r="AK16" s="805"/>
      <c r="AL16" s="202">
        <f>CADASTRO!BS22+CADASTRO!BS23</f>
        <v>447</v>
      </c>
      <c r="AM16" s="203">
        <f t="shared" si="0"/>
        <v>41.124000000000002</v>
      </c>
      <c r="AN16" s="204">
        <f t="shared" si="4"/>
        <v>8.2248000000000001</v>
      </c>
      <c r="AO16" s="204">
        <f t="shared" si="1"/>
        <v>20.562000000000001</v>
      </c>
      <c r="AP16" s="204">
        <f t="shared" si="2"/>
        <v>10.281000000000001</v>
      </c>
      <c r="AQ16" s="204">
        <f t="shared" si="3"/>
        <v>2.0562</v>
      </c>
    </row>
    <row r="17" spans="2:43" s="22" customFormat="1" ht="30" customHeight="1" x14ac:dyDescent="0.2">
      <c r="B17" s="476" t="s">
        <v>38</v>
      </c>
      <c r="C17" s="477"/>
      <c r="D17" s="1234">
        <v>0.16800000000000001</v>
      </c>
      <c r="E17" s="1235"/>
      <c r="F17" s="194"/>
      <c r="G17" s="1237">
        <v>0.16800000000000001</v>
      </c>
      <c r="H17" s="1238"/>
      <c r="I17" s="680" t="s">
        <v>268</v>
      </c>
      <c r="J17" s="680"/>
      <c r="K17" s="1236"/>
      <c r="L17" s="23"/>
      <c r="M17" s="1253" t="s">
        <v>472</v>
      </c>
      <c r="N17" s="1254"/>
      <c r="O17" s="1255"/>
      <c r="P17" s="1259" t="s">
        <v>494</v>
      </c>
      <c r="Q17" s="1260"/>
      <c r="R17" s="1261"/>
      <c r="S17" s="1267">
        <v>0.5</v>
      </c>
      <c r="T17" s="1268"/>
      <c r="U17" s="1269"/>
      <c r="V17" s="194"/>
      <c r="AJ17" s="805" t="s">
        <v>38</v>
      </c>
      <c r="AK17" s="805"/>
      <c r="AL17" s="202">
        <f>CADASTRO!BS24</f>
        <v>250</v>
      </c>
      <c r="AM17" s="203">
        <f t="shared" si="0"/>
        <v>42</v>
      </c>
      <c r="AN17" s="204">
        <f t="shared" si="4"/>
        <v>8.4</v>
      </c>
      <c r="AO17" s="204">
        <f t="shared" si="1"/>
        <v>21</v>
      </c>
      <c r="AP17" s="204">
        <f t="shared" si="2"/>
        <v>10.5</v>
      </c>
      <c r="AQ17" s="204">
        <f t="shared" si="3"/>
        <v>2.1</v>
      </c>
    </row>
    <row r="18" spans="2:43" s="22" customFormat="1" ht="30" customHeight="1" x14ac:dyDescent="0.2">
      <c r="B18" s="476" t="s">
        <v>492</v>
      </c>
      <c r="C18" s="477"/>
      <c r="D18" s="1234">
        <v>0.16800000000000001</v>
      </c>
      <c r="E18" s="1235"/>
      <c r="F18" s="45"/>
      <c r="G18" s="1237">
        <v>0.16800000000000001</v>
      </c>
      <c r="H18" s="1238"/>
      <c r="I18" s="680" t="s">
        <v>269</v>
      </c>
      <c r="J18" s="680"/>
      <c r="K18" s="1236"/>
      <c r="L18" s="23"/>
      <c r="M18" s="1256"/>
      <c r="N18" s="1257"/>
      <c r="O18" s="1258"/>
      <c r="P18" s="1262"/>
      <c r="Q18" s="1263"/>
      <c r="R18" s="1264"/>
      <c r="S18" s="1270"/>
      <c r="T18" s="1271"/>
      <c r="U18" s="1272"/>
      <c r="V18" s="23"/>
      <c r="AJ18" s="744" t="s">
        <v>492</v>
      </c>
      <c r="AK18" s="744"/>
      <c r="AL18" s="198">
        <f>CADASTRO!BS27</f>
        <v>50</v>
      </c>
      <c r="AM18" s="200">
        <f t="shared" si="0"/>
        <v>8.4</v>
      </c>
      <c r="AN18" s="201">
        <f t="shared" si="4"/>
        <v>1.6800000000000002</v>
      </c>
      <c r="AO18" s="201">
        <f t="shared" si="1"/>
        <v>4.2</v>
      </c>
      <c r="AP18" s="201">
        <f t="shared" si="2"/>
        <v>2.1</v>
      </c>
      <c r="AQ18" s="201">
        <f t="shared" si="3"/>
        <v>0.42000000000000004</v>
      </c>
    </row>
    <row r="19" spans="2:43" s="22" customFormat="1" ht="34.5" customHeight="1" x14ac:dyDescent="0.2">
      <c r="B19" s="476" t="s">
        <v>491</v>
      </c>
      <c r="C19" s="477"/>
      <c r="D19" s="1234">
        <v>0.23100000000000001</v>
      </c>
      <c r="E19" s="1235"/>
      <c r="F19" s="45"/>
      <c r="G19" s="1243">
        <v>0.23100000000000001</v>
      </c>
      <c r="H19" s="1244"/>
      <c r="I19" s="1241" t="s">
        <v>270</v>
      </c>
      <c r="J19" s="1241"/>
      <c r="K19" s="1242"/>
      <c r="L19" s="23"/>
      <c r="M19" s="497" t="s">
        <v>359</v>
      </c>
      <c r="N19" s="497"/>
      <c r="O19" s="497"/>
      <c r="P19" s="497"/>
      <c r="Q19" s="497"/>
      <c r="R19" s="497"/>
      <c r="S19" s="497"/>
      <c r="T19" s="497"/>
      <c r="U19" s="497"/>
      <c r="V19" s="196"/>
      <c r="AJ19" s="744" t="s">
        <v>491</v>
      </c>
      <c r="AK19" s="744"/>
      <c r="AL19" s="198">
        <f>SUM(CADASTRO!BS28:CA31)</f>
        <v>90</v>
      </c>
      <c r="AM19" s="200">
        <f t="shared" si="0"/>
        <v>20.790000000000003</v>
      </c>
      <c r="AN19" s="201">
        <f t="shared" si="4"/>
        <v>4.1580000000000004</v>
      </c>
      <c r="AO19" s="201">
        <f t="shared" si="1"/>
        <v>10.395000000000001</v>
      </c>
      <c r="AP19" s="201">
        <f t="shared" si="2"/>
        <v>5.1975000000000007</v>
      </c>
      <c r="AQ19" s="201">
        <f t="shared" si="3"/>
        <v>1.0395000000000001</v>
      </c>
    </row>
    <row r="20" spans="2:43" s="22" customFormat="1" ht="15.75" customHeight="1" x14ac:dyDescent="0.2">
      <c r="D20" s="195"/>
      <c r="E20" s="195"/>
      <c r="F20" s="45"/>
      <c r="G20" s="45"/>
      <c r="H20" s="45"/>
      <c r="I20" s="45"/>
      <c r="J20" s="45"/>
      <c r="K20" s="45"/>
      <c r="L20" s="45"/>
      <c r="N20" s="45"/>
      <c r="O20" s="45"/>
      <c r="P20" s="45"/>
      <c r="Q20" s="45"/>
      <c r="R20" s="45"/>
      <c r="S20" s="45"/>
      <c r="T20" s="45"/>
      <c r="U20" s="45"/>
      <c r="V20" s="45"/>
      <c r="W20" s="45"/>
      <c r="X20" s="45"/>
      <c r="Y20" s="45"/>
      <c r="Z20" s="45"/>
      <c r="AA20" s="45"/>
      <c r="AB20" s="45"/>
      <c r="AC20" s="45"/>
      <c r="AD20" s="45"/>
      <c r="AL20" s="197">
        <f>SUM(AL13:AL19)</f>
        <v>2100</v>
      </c>
      <c r="AM20" s="197">
        <f>SUM(AM13:AM19)</f>
        <v>141.23400000000001</v>
      </c>
      <c r="AN20" s="199">
        <f t="shared" si="4"/>
        <v>28.246800000000004</v>
      </c>
      <c r="AO20" s="199">
        <f t="shared" si="1"/>
        <v>70.617000000000004</v>
      </c>
      <c r="AP20" s="199">
        <f t="shared" si="2"/>
        <v>35.308500000000002</v>
      </c>
      <c r="AQ20" s="199">
        <f t="shared" si="3"/>
        <v>7.061700000000001</v>
      </c>
    </row>
    <row r="21" spans="2:43" ht="33.950000000000003" customHeight="1" x14ac:dyDescent="0.2">
      <c r="B21" s="639" t="s">
        <v>371</v>
      </c>
      <c r="C21" s="639"/>
      <c r="D21" s="639"/>
      <c r="E21" s="639"/>
      <c r="F21" s="639"/>
      <c r="G21" s="639"/>
      <c r="H21" s="639"/>
      <c r="I21" s="639"/>
      <c r="J21" s="639"/>
      <c r="K21" s="639"/>
      <c r="L21" s="639"/>
      <c r="M21" s="2"/>
      <c r="N21" s="858" t="s">
        <v>544</v>
      </c>
      <c r="O21" s="859"/>
      <c r="Q21" s="830" t="s">
        <v>595</v>
      </c>
      <c r="R21" s="831"/>
      <c r="S21" s="831"/>
      <c r="T21" s="831"/>
      <c r="U21" s="831"/>
      <c r="V21" s="831"/>
      <c r="W21" s="831"/>
      <c r="X21" s="831"/>
      <c r="Y21" s="831"/>
      <c r="Z21" s="831"/>
      <c r="AA21" s="831"/>
      <c r="AB21" s="832"/>
      <c r="AM21" s="270">
        <f>AM20/AL20</f>
        <v>6.7254285714285725E-2</v>
      </c>
    </row>
    <row r="22" spans="2:43" ht="33.950000000000003" customHeight="1" x14ac:dyDescent="0.2">
      <c r="B22" s="748" t="s">
        <v>311</v>
      </c>
      <c r="C22" s="748"/>
      <c r="D22" s="748"/>
      <c r="E22" s="748"/>
      <c r="F22" s="748"/>
      <c r="G22" s="643" t="s">
        <v>555</v>
      </c>
      <c r="H22" s="864"/>
      <c r="I22" s="644"/>
      <c r="J22" s="633" t="s">
        <v>594</v>
      </c>
      <c r="K22" s="642"/>
      <c r="L22" s="634"/>
      <c r="M22" s="48"/>
      <c r="N22" s="860"/>
      <c r="O22" s="861"/>
      <c r="Q22" s="833" t="s">
        <v>49</v>
      </c>
      <c r="R22" s="834"/>
      <c r="S22" s="833" t="s">
        <v>634</v>
      </c>
      <c r="T22" s="834"/>
      <c r="U22" s="835" t="s">
        <v>635</v>
      </c>
      <c r="V22" s="836"/>
      <c r="W22" s="1224" t="s">
        <v>636</v>
      </c>
      <c r="X22" s="1225"/>
      <c r="Y22" s="637" t="s">
        <v>637</v>
      </c>
      <c r="Z22" s="638"/>
      <c r="AA22" s="835" t="s">
        <v>4</v>
      </c>
      <c r="AB22" s="638"/>
    </row>
    <row r="23" spans="2:43" ht="33.950000000000003" customHeight="1" x14ac:dyDescent="0.2">
      <c r="B23" s="693" t="s">
        <v>694</v>
      </c>
      <c r="C23" s="694"/>
      <c r="D23" s="695">
        <f>Y13+AA13</f>
        <v>33.613200000000006</v>
      </c>
      <c r="E23" s="695"/>
      <c r="F23" s="695"/>
      <c r="G23" s="1218">
        <v>24</v>
      </c>
      <c r="H23" s="1219"/>
      <c r="I23" s="1220"/>
      <c r="J23" s="726">
        <f>G23/D23</f>
        <v>0.71400521223804925</v>
      </c>
      <c r="K23" s="726"/>
      <c r="L23" s="726"/>
      <c r="M23" s="60"/>
      <c r="N23" s="1232">
        <v>1</v>
      </c>
      <c r="O23" s="1233"/>
      <c r="P23" s="271"/>
      <c r="Q23" s="591" t="s">
        <v>699</v>
      </c>
      <c r="R23" s="592"/>
      <c r="S23" s="591">
        <f>' POP. ALVO'!Q58</f>
        <v>5.6021999999999998</v>
      </c>
      <c r="T23" s="592"/>
      <c r="U23" s="591">
        <f>' POP. ALVO'!S58</f>
        <v>28.011000000000003</v>
      </c>
      <c r="V23" s="592"/>
      <c r="W23" s="591">
        <f>' POP. ALVO'!U58</f>
        <v>28.011000000000003</v>
      </c>
      <c r="X23" s="592"/>
      <c r="Y23" s="591">
        <f>' POP. ALVO'!W58</f>
        <v>11.2044</v>
      </c>
      <c r="Z23" s="592"/>
      <c r="AA23" s="591">
        <f>' POP. ALVO'!Y58</f>
        <v>72.828600000000009</v>
      </c>
      <c r="AB23" s="592"/>
      <c r="AC23" s="272"/>
    </row>
    <row r="24" spans="2:43" ht="33.950000000000003" customHeight="1" x14ac:dyDescent="0.2">
      <c r="B24" s="693" t="s">
        <v>695</v>
      </c>
      <c r="C24" s="694"/>
      <c r="D24" s="695">
        <f>AC13+AF13</f>
        <v>78.430800000000005</v>
      </c>
      <c r="E24" s="695"/>
      <c r="F24" s="695"/>
      <c r="G24" s="1218">
        <v>30</v>
      </c>
      <c r="H24" s="1219"/>
      <c r="I24" s="1220"/>
      <c r="J24" s="726">
        <f>G24/D24</f>
        <v>0.38250279227038353</v>
      </c>
      <c r="K24" s="726"/>
      <c r="L24" s="726"/>
      <c r="M24" s="60"/>
      <c r="N24" s="1232">
        <v>0.6</v>
      </c>
      <c r="O24" s="1233"/>
      <c r="P24" s="244"/>
      <c r="Q24" s="1204" t="s">
        <v>698</v>
      </c>
      <c r="R24" s="1204"/>
      <c r="S24" s="1204">
        <f>' POP. ALVO'!Q59</f>
        <v>1.4595000000000002</v>
      </c>
      <c r="T24" s="1204"/>
      <c r="U24" s="1204">
        <f>' POP. ALVO'!S59</f>
        <v>7.2975000000000012</v>
      </c>
      <c r="V24" s="1204"/>
      <c r="W24" s="1204">
        <f>' POP. ALVO'!U59</f>
        <v>10.216500000000002</v>
      </c>
      <c r="X24" s="1204"/>
      <c r="Y24" s="1204">
        <f>' POP. ALVO'!W59</f>
        <v>12.423600000000002</v>
      </c>
      <c r="Z24" s="1204"/>
      <c r="AA24" s="1204">
        <f>' POP. ALVO'!Y59</f>
        <v>31.397100000000002</v>
      </c>
      <c r="AB24" s="1204"/>
    </row>
    <row r="25" spans="2:43" ht="33.950000000000003" customHeight="1" x14ac:dyDescent="0.2">
      <c r="B25" s="693" t="s">
        <v>696</v>
      </c>
      <c r="C25" s="694"/>
      <c r="D25" s="695">
        <f>Y14+AA14</f>
        <v>8.7570000000000014</v>
      </c>
      <c r="E25" s="695"/>
      <c r="F25" s="695"/>
      <c r="G25" s="1218">
        <v>31</v>
      </c>
      <c r="H25" s="1219"/>
      <c r="I25" s="1220"/>
      <c r="J25" s="726">
        <f>G25/D25</f>
        <v>3.540025122758935</v>
      </c>
      <c r="K25" s="726"/>
      <c r="L25" s="726"/>
      <c r="M25" s="60"/>
      <c r="N25" s="1232">
        <v>1</v>
      </c>
      <c r="O25" s="1233"/>
      <c r="Q25" s="1202"/>
      <c r="R25" s="1202"/>
      <c r="S25" s="1202"/>
      <c r="T25" s="1202"/>
      <c r="U25" s="1202"/>
      <c r="V25" s="1202"/>
      <c r="W25" s="1202"/>
      <c r="X25" s="1202"/>
      <c r="Y25" s="1202"/>
      <c r="Z25" s="1202"/>
      <c r="AA25" s="1202"/>
      <c r="AB25" s="1202"/>
    </row>
    <row r="26" spans="2:43" ht="33.950000000000003" customHeight="1" x14ac:dyDescent="0.2">
      <c r="B26" s="693" t="s">
        <v>697</v>
      </c>
      <c r="C26" s="694"/>
      <c r="D26" s="695">
        <f>AC14+AF14</f>
        <v>20.433000000000003</v>
      </c>
      <c r="E26" s="695"/>
      <c r="F26" s="695"/>
      <c r="G26" s="1218">
        <v>43</v>
      </c>
      <c r="H26" s="1219"/>
      <c r="I26" s="1220"/>
      <c r="J26" s="726">
        <f>G26/D26</f>
        <v>2.1044388978613022</v>
      </c>
      <c r="K26" s="726"/>
      <c r="L26" s="726"/>
      <c r="M26" s="60"/>
      <c r="N26" s="1232">
        <v>0.6</v>
      </c>
      <c r="O26" s="1233"/>
      <c r="Q26" s="1202"/>
      <c r="R26" s="1202"/>
      <c r="S26" s="1202"/>
      <c r="T26" s="1202"/>
      <c r="U26" s="1202"/>
      <c r="V26" s="1202"/>
      <c r="W26" s="1202"/>
      <c r="X26" s="1202"/>
      <c r="Y26" s="1202"/>
      <c r="Z26" s="1202"/>
      <c r="AA26" s="1202"/>
      <c r="AB26" s="1202"/>
    </row>
    <row r="27" spans="2:43" ht="33.950000000000003" customHeight="1" x14ac:dyDescent="0.2">
      <c r="B27" s="828" t="s">
        <v>4</v>
      </c>
      <c r="C27" s="829"/>
      <c r="D27" s="598">
        <f>SUM(D23:F26)</f>
        <v>141.23400000000001</v>
      </c>
      <c r="E27" s="598"/>
      <c r="F27" s="598"/>
      <c r="G27" s="598">
        <f>SUM(G23:I26)</f>
        <v>128</v>
      </c>
      <c r="H27" s="598"/>
      <c r="I27" s="598"/>
      <c r="J27" s="726">
        <f>G27/D27</f>
        <v>0.9062973504963393</v>
      </c>
      <c r="K27" s="726"/>
      <c r="L27" s="726"/>
    </row>
    <row r="30" spans="2:43" ht="15" customHeight="1" x14ac:dyDescent="0.25">
      <c r="B30" s="245" t="s">
        <v>569</v>
      </c>
    </row>
    <row r="32" spans="2:43" s="3" customFormat="1" ht="15.75" x14ac:dyDescent="0.2">
      <c r="C32" s="4"/>
      <c r="D32" s="386"/>
      <c r="E32" s="386"/>
      <c r="F32" s="3" t="s">
        <v>143</v>
      </c>
    </row>
    <row r="33" spans="3:30" s="3" customFormat="1" ht="5.0999999999999996" customHeight="1" x14ac:dyDescent="0.2">
      <c r="C33" s="4"/>
    </row>
    <row r="34" spans="3:30" s="3" customFormat="1" ht="15.75" customHeight="1" x14ac:dyDescent="0.2">
      <c r="D34" s="11"/>
      <c r="E34" s="11"/>
      <c r="F34" s="817" t="s">
        <v>126</v>
      </c>
      <c r="G34" s="818"/>
      <c r="H34" s="818"/>
      <c r="I34" s="818"/>
      <c r="J34" s="818"/>
      <c r="K34" s="818"/>
      <c r="L34" s="818"/>
      <c r="M34" s="818"/>
      <c r="N34" s="818"/>
      <c r="O34" s="818"/>
      <c r="P34" s="818"/>
      <c r="Q34" s="818"/>
      <c r="R34" s="818"/>
      <c r="S34" s="818"/>
      <c r="T34" s="819"/>
      <c r="U34" s="20"/>
      <c r="V34" s="411" t="s">
        <v>638</v>
      </c>
      <c r="W34" s="411"/>
      <c r="X34" s="411"/>
      <c r="Y34" s="411"/>
      <c r="Z34" s="411"/>
      <c r="AA34" s="411"/>
      <c r="AB34" s="411"/>
      <c r="AC34" s="411"/>
      <c r="AD34" s="411"/>
    </row>
    <row r="35" spans="3:30" s="3" customFormat="1" ht="5.0999999999999996" customHeight="1" x14ac:dyDescent="0.2">
      <c r="C35" s="4"/>
      <c r="V35" s="27"/>
      <c r="W35" s="27"/>
      <c r="X35" s="27"/>
      <c r="Y35" s="27"/>
      <c r="Z35" s="27"/>
      <c r="AA35" s="27"/>
      <c r="AB35" s="27"/>
      <c r="AC35" s="27"/>
      <c r="AD35" s="27"/>
    </row>
    <row r="36" spans="3:30" s="3" customFormat="1" ht="21.95" customHeight="1" x14ac:dyDescent="0.2">
      <c r="D36" s="11"/>
      <c r="E36" s="11"/>
      <c r="F36" s="481" t="s">
        <v>312</v>
      </c>
      <c r="G36" s="482"/>
      <c r="H36" s="482"/>
      <c r="I36" s="483"/>
      <c r="J36" s="21"/>
      <c r="K36" s="481" t="s">
        <v>145</v>
      </c>
      <c r="L36" s="482"/>
      <c r="M36" s="482"/>
      <c r="N36" s="482"/>
      <c r="O36" s="482"/>
      <c r="P36" s="483"/>
      <c r="Q36" s="21"/>
      <c r="R36" s="1226" t="s">
        <v>359</v>
      </c>
      <c r="S36" s="1226"/>
      <c r="T36" s="1226"/>
      <c r="U36" s="22"/>
      <c r="V36" s="407">
        <v>1</v>
      </c>
      <c r="W36" s="408"/>
      <c r="X36" s="412" t="s">
        <v>146</v>
      </c>
      <c r="Y36" s="412"/>
      <c r="Z36" s="412"/>
      <c r="AA36" s="412"/>
      <c r="AB36" s="412"/>
      <c r="AC36" s="412"/>
      <c r="AD36" s="413"/>
    </row>
    <row r="37" spans="3:30" s="3" customFormat="1" ht="21.95" customHeight="1" x14ac:dyDescent="0.2">
      <c r="D37" s="11"/>
      <c r="E37" s="11"/>
      <c r="F37" s="490"/>
      <c r="G37" s="491"/>
      <c r="H37" s="491"/>
      <c r="I37" s="492"/>
      <c r="J37" s="21"/>
      <c r="K37" s="484"/>
      <c r="L37" s="485"/>
      <c r="M37" s="485"/>
      <c r="N37" s="485"/>
      <c r="O37" s="485"/>
      <c r="P37" s="486"/>
      <c r="Q37" s="21"/>
      <c r="R37" s="1226"/>
      <c r="S37" s="1226"/>
      <c r="T37" s="1226"/>
      <c r="U37" s="22"/>
      <c r="V37" s="407">
        <v>1</v>
      </c>
      <c r="W37" s="408"/>
      <c r="X37" s="412" t="s">
        <v>147</v>
      </c>
      <c r="Y37" s="412"/>
      <c r="Z37" s="412"/>
      <c r="AA37" s="412"/>
      <c r="AB37" s="412"/>
      <c r="AC37" s="412"/>
      <c r="AD37" s="413"/>
    </row>
    <row r="38" spans="3:30" s="3" customFormat="1" ht="25.5" customHeight="1" x14ac:dyDescent="0.2">
      <c r="D38" s="11"/>
      <c r="E38" s="11"/>
      <c r="F38" s="490"/>
      <c r="G38" s="491"/>
      <c r="H38" s="491"/>
      <c r="I38" s="492"/>
      <c r="J38" s="21"/>
      <c r="K38" s="481" t="s">
        <v>628</v>
      </c>
      <c r="L38" s="482"/>
      <c r="M38" s="482"/>
      <c r="N38" s="482"/>
      <c r="O38" s="482"/>
      <c r="P38" s="483"/>
      <c r="Q38" s="21"/>
      <c r="R38" s="1226"/>
      <c r="S38" s="1226"/>
      <c r="T38" s="1226"/>
      <c r="U38" s="22"/>
      <c r="V38" s="407">
        <v>1</v>
      </c>
      <c r="W38" s="408"/>
      <c r="X38" s="412" t="s">
        <v>366</v>
      </c>
      <c r="Y38" s="412"/>
      <c r="Z38" s="412"/>
      <c r="AA38" s="412"/>
      <c r="AB38" s="412"/>
      <c r="AC38" s="412"/>
      <c r="AD38" s="413"/>
    </row>
    <row r="39" spans="3:30" s="3" customFormat="1" ht="25.5" customHeight="1" x14ac:dyDescent="0.2">
      <c r="D39" s="11"/>
      <c r="E39" s="11"/>
      <c r="F39" s="490"/>
      <c r="G39" s="491"/>
      <c r="H39" s="491"/>
      <c r="I39" s="492"/>
      <c r="J39" s="21"/>
      <c r="K39" s="484"/>
      <c r="L39" s="485"/>
      <c r="M39" s="485"/>
      <c r="N39" s="485"/>
      <c r="O39" s="485"/>
      <c r="P39" s="486"/>
      <c r="Q39" s="21"/>
      <c r="R39" s="1226"/>
      <c r="S39" s="1226"/>
      <c r="T39" s="1226"/>
      <c r="U39" s="22"/>
      <c r="V39" s="407">
        <v>1</v>
      </c>
      <c r="W39" s="408"/>
      <c r="X39" s="412" t="s">
        <v>367</v>
      </c>
      <c r="Y39" s="412"/>
      <c r="Z39" s="412"/>
      <c r="AA39" s="412"/>
      <c r="AB39" s="412"/>
      <c r="AC39" s="412"/>
      <c r="AD39" s="413"/>
    </row>
    <row r="40" spans="3:30" s="3" customFormat="1" ht="26.25" customHeight="1" x14ac:dyDescent="0.2">
      <c r="D40" s="11"/>
      <c r="E40" s="11"/>
      <c r="F40" s="490"/>
      <c r="G40" s="491"/>
      <c r="H40" s="491"/>
      <c r="I40" s="492"/>
      <c r="K40" s="481" t="s">
        <v>314</v>
      </c>
      <c r="L40" s="482"/>
      <c r="M40" s="482"/>
      <c r="N40" s="482"/>
      <c r="O40" s="482"/>
      <c r="P40" s="483"/>
      <c r="R40" s="1226"/>
      <c r="S40" s="1226"/>
      <c r="T40" s="1226"/>
      <c r="V40" s="407">
        <v>2</v>
      </c>
      <c r="W40" s="408"/>
      <c r="X40" s="412" t="s">
        <v>368</v>
      </c>
      <c r="Y40" s="412"/>
      <c r="Z40" s="412"/>
      <c r="AA40" s="412"/>
      <c r="AB40" s="412"/>
      <c r="AC40" s="412"/>
      <c r="AD40" s="413"/>
    </row>
    <row r="41" spans="3:30" s="3" customFormat="1" ht="26.25" customHeight="1" x14ac:dyDescent="0.2">
      <c r="D41" s="11"/>
      <c r="E41" s="11"/>
      <c r="F41" s="490"/>
      <c r="G41" s="491"/>
      <c r="H41" s="491"/>
      <c r="I41" s="492"/>
      <c r="K41" s="484"/>
      <c r="L41" s="485"/>
      <c r="M41" s="485"/>
      <c r="N41" s="485"/>
      <c r="O41" s="485"/>
      <c r="P41" s="486"/>
      <c r="R41" s="1226"/>
      <c r="S41" s="1226"/>
      <c r="T41" s="1226"/>
      <c r="V41" s="407">
        <v>2</v>
      </c>
      <c r="W41" s="408"/>
      <c r="X41" s="412" t="s">
        <v>369</v>
      </c>
      <c r="Y41" s="412"/>
      <c r="Z41" s="412"/>
      <c r="AA41" s="412"/>
      <c r="AB41" s="412"/>
      <c r="AC41" s="412"/>
      <c r="AD41" s="413"/>
    </row>
    <row r="42" spans="3:30" s="3" customFormat="1" ht="55.5" customHeight="1" x14ac:dyDescent="0.2">
      <c r="C42" s="4"/>
      <c r="F42" s="490"/>
      <c r="G42" s="491"/>
      <c r="H42" s="491"/>
      <c r="I42" s="492"/>
      <c r="K42" s="476" t="s">
        <v>629</v>
      </c>
      <c r="L42" s="459"/>
      <c r="M42" s="459"/>
      <c r="N42" s="459"/>
      <c r="O42" s="459"/>
      <c r="P42" s="477"/>
      <c r="R42" s="1226"/>
      <c r="S42" s="1226"/>
      <c r="T42" s="1226"/>
      <c r="V42" s="407">
        <v>3</v>
      </c>
      <c r="W42" s="408"/>
      <c r="X42" s="412" t="s">
        <v>151</v>
      </c>
      <c r="Y42" s="412"/>
      <c r="Z42" s="412"/>
      <c r="AA42" s="412"/>
      <c r="AB42" s="412"/>
      <c r="AC42" s="412"/>
      <c r="AD42" s="413"/>
    </row>
    <row r="43" spans="3:30" s="3" customFormat="1" ht="50.1" customHeight="1" x14ac:dyDescent="0.2">
      <c r="C43" s="4"/>
      <c r="F43" s="490"/>
      <c r="G43" s="491"/>
      <c r="H43" s="491"/>
      <c r="I43" s="492"/>
      <c r="K43" s="476" t="s">
        <v>443</v>
      </c>
      <c r="L43" s="459"/>
      <c r="M43" s="459"/>
      <c r="N43" s="459"/>
      <c r="O43" s="459"/>
      <c r="P43" s="477"/>
      <c r="R43" s="1226"/>
      <c r="S43" s="1226"/>
      <c r="T43" s="1226"/>
      <c r="V43" s="407">
        <v>12</v>
      </c>
      <c r="W43" s="408"/>
      <c r="X43" s="412" t="s">
        <v>442</v>
      </c>
      <c r="Y43" s="412"/>
      <c r="Z43" s="412"/>
      <c r="AA43" s="412"/>
      <c r="AB43" s="412"/>
      <c r="AC43" s="412"/>
      <c r="AD43" s="413"/>
    </row>
    <row r="44" spans="3:30" s="3" customFormat="1" ht="39.950000000000003" customHeight="1" x14ac:dyDescent="0.2">
      <c r="C44" s="4"/>
      <c r="F44" s="490"/>
      <c r="G44" s="491"/>
      <c r="H44" s="491"/>
      <c r="I44" s="492"/>
      <c r="K44" s="476" t="s">
        <v>313</v>
      </c>
      <c r="L44" s="459"/>
      <c r="M44" s="459"/>
      <c r="N44" s="459"/>
      <c r="O44" s="459"/>
      <c r="P44" s="477"/>
      <c r="R44" s="1226"/>
      <c r="S44" s="1226"/>
      <c r="T44" s="1226"/>
      <c r="V44" s="407">
        <v>1</v>
      </c>
      <c r="W44" s="408"/>
      <c r="X44" s="412" t="s">
        <v>9</v>
      </c>
      <c r="Y44" s="412"/>
      <c r="Z44" s="412"/>
      <c r="AA44" s="412"/>
      <c r="AB44" s="412"/>
      <c r="AC44" s="412"/>
      <c r="AD44" s="413"/>
    </row>
    <row r="45" spans="3:30" s="3" customFormat="1" ht="45" customHeight="1" x14ac:dyDescent="0.2">
      <c r="C45" s="4"/>
      <c r="F45" s="509" t="s">
        <v>318</v>
      </c>
      <c r="G45" s="509"/>
      <c r="H45" s="509"/>
      <c r="I45" s="509"/>
      <c r="K45" s="476" t="s">
        <v>315</v>
      </c>
      <c r="L45" s="459"/>
      <c r="M45" s="459"/>
      <c r="N45" s="459"/>
      <c r="O45" s="459"/>
      <c r="P45" s="477"/>
      <c r="R45" s="1226"/>
      <c r="S45" s="1226"/>
      <c r="T45" s="1226"/>
      <c r="V45" s="424">
        <v>1</v>
      </c>
      <c r="W45" s="425"/>
      <c r="X45" s="412" t="s">
        <v>154</v>
      </c>
      <c r="Y45" s="412"/>
      <c r="Z45" s="412"/>
      <c r="AA45" s="412"/>
      <c r="AB45" s="412"/>
      <c r="AC45" s="412"/>
      <c r="AD45" s="413"/>
    </row>
    <row r="46" spans="3:30" s="3" customFormat="1" ht="39" customHeight="1" x14ac:dyDescent="0.2">
      <c r="C46" s="4"/>
      <c r="F46" s="509"/>
      <c r="G46" s="509"/>
      <c r="H46" s="509"/>
      <c r="I46" s="509"/>
      <c r="K46" s="476" t="s">
        <v>316</v>
      </c>
      <c r="L46" s="459"/>
      <c r="M46" s="459"/>
      <c r="N46" s="459"/>
      <c r="O46" s="459"/>
      <c r="P46" s="477"/>
      <c r="R46" s="1226"/>
      <c r="S46" s="1226"/>
      <c r="T46" s="1226"/>
      <c r="V46" s="424">
        <v>1</v>
      </c>
      <c r="W46" s="425"/>
      <c r="X46" s="412" t="s">
        <v>321</v>
      </c>
      <c r="Y46" s="412"/>
      <c r="Z46" s="412"/>
      <c r="AA46" s="412"/>
      <c r="AB46" s="412"/>
      <c r="AC46" s="412"/>
      <c r="AD46" s="413"/>
    </row>
    <row r="47" spans="3:30" s="3" customFormat="1" ht="30" customHeight="1" x14ac:dyDescent="0.2">
      <c r="C47" s="4"/>
      <c r="F47" s="509"/>
      <c r="G47" s="509"/>
      <c r="H47" s="509"/>
      <c r="I47" s="509"/>
      <c r="K47" s="476" t="s">
        <v>317</v>
      </c>
      <c r="L47" s="459"/>
      <c r="M47" s="459"/>
      <c r="N47" s="459"/>
      <c r="O47" s="459"/>
      <c r="P47" s="477"/>
      <c r="R47" s="1226"/>
      <c r="S47" s="1226"/>
      <c r="T47" s="1226"/>
      <c r="V47" s="424">
        <v>1</v>
      </c>
      <c r="W47" s="425"/>
      <c r="X47" s="412" t="s">
        <v>158</v>
      </c>
      <c r="Y47" s="412"/>
      <c r="Z47" s="412"/>
      <c r="AA47" s="412"/>
      <c r="AB47" s="412"/>
      <c r="AC47" s="412"/>
      <c r="AD47" s="413"/>
    </row>
    <row r="48" spans="3:30" s="3" customFormat="1" ht="42.75" customHeight="1" x14ac:dyDescent="0.2">
      <c r="C48" s="4"/>
      <c r="F48" s="509"/>
      <c r="G48" s="509"/>
      <c r="H48" s="509"/>
      <c r="I48" s="509"/>
      <c r="K48" s="476" t="s">
        <v>319</v>
      </c>
      <c r="L48" s="459"/>
      <c r="M48" s="459"/>
      <c r="N48" s="459"/>
      <c r="O48" s="459"/>
      <c r="P48" s="477"/>
      <c r="R48" s="1226"/>
      <c r="S48" s="1226"/>
      <c r="T48" s="1226"/>
      <c r="V48" s="424">
        <v>1</v>
      </c>
      <c r="W48" s="425"/>
      <c r="X48" s="412" t="s">
        <v>320</v>
      </c>
      <c r="Y48" s="412"/>
      <c r="Z48" s="412"/>
      <c r="AA48" s="412"/>
      <c r="AB48" s="412"/>
      <c r="AC48" s="412"/>
      <c r="AD48" s="413"/>
    </row>
    <row r="49" spans="3:30" s="3" customFormat="1" ht="53.25" customHeight="1" x14ac:dyDescent="0.2">
      <c r="C49" s="4"/>
      <c r="F49" s="509"/>
      <c r="G49" s="509"/>
      <c r="H49" s="509"/>
      <c r="I49" s="509"/>
      <c r="K49" s="476" t="s">
        <v>630</v>
      </c>
      <c r="L49" s="459"/>
      <c r="M49" s="459"/>
      <c r="N49" s="459"/>
      <c r="O49" s="459"/>
      <c r="P49" s="477"/>
      <c r="R49" s="1226"/>
      <c r="S49" s="1226"/>
      <c r="T49" s="1226"/>
      <c r="V49" s="424">
        <v>1</v>
      </c>
      <c r="W49" s="425"/>
      <c r="X49" s="412" t="s">
        <v>156</v>
      </c>
      <c r="Y49" s="412"/>
      <c r="Z49" s="412"/>
      <c r="AA49" s="412"/>
      <c r="AB49" s="412"/>
      <c r="AC49" s="412"/>
      <c r="AD49" s="413"/>
    </row>
    <row r="50" spans="3:30" s="3" customFormat="1" ht="15.75" customHeight="1" x14ac:dyDescent="0.2">
      <c r="C50" s="4"/>
      <c r="V50" s="426" t="s">
        <v>303</v>
      </c>
      <c r="W50" s="426"/>
      <c r="X50" s="426"/>
      <c r="Y50" s="426"/>
      <c r="Z50" s="426"/>
      <c r="AA50" s="426"/>
      <c r="AB50" s="426"/>
      <c r="AC50" s="426"/>
      <c r="AD50" s="426"/>
    </row>
    <row r="51" spans="3:30" s="3" customFormat="1" ht="15.75" x14ac:dyDescent="0.2">
      <c r="C51" s="4"/>
      <c r="V51" s="426"/>
      <c r="W51" s="426"/>
      <c r="X51" s="426"/>
      <c r="Y51" s="426"/>
      <c r="Z51" s="426"/>
      <c r="AA51" s="426"/>
      <c r="AB51" s="426"/>
      <c r="AC51" s="426"/>
      <c r="AD51" s="426"/>
    </row>
    <row r="52" spans="3:30" s="3" customFormat="1" ht="15.75" x14ac:dyDescent="0.2">
      <c r="C52" s="4"/>
      <c r="V52" s="426"/>
      <c r="W52" s="426"/>
      <c r="X52" s="426"/>
      <c r="Y52" s="426"/>
      <c r="Z52" s="426"/>
      <c r="AA52" s="426"/>
      <c r="AB52" s="426"/>
      <c r="AC52" s="426"/>
      <c r="AD52" s="426"/>
    </row>
    <row r="53" spans="3:30" s="3" customFormat="1" ht="15.75" x14ac:dyDescent="0.2">
      <c r="C53" s="4"/>
      <c r="V53" s="31"/>
      <c r="W53" s="31"/>
      <c r="X53" s="31"/>
      <c r="Y53" s="31"/>
      <c r="Z53" s="31"/>
      <c r="AA53" s="31"/>
      <c r="AB53" s="31"/>
      <c r="AC53" s="31"/>
      <c r="AD53" s="31"/>
    </row>
    <row r="54" spans="3:30" s="3" customFormat="1" ht="15.75" x14ac:dyDescent="0.2">
      <c r="C54" s="4"/>
      <c r="D54" s="386"/>
      <c r="E54" s="386"/>
      <c r="F54" s="3" t="s">
        <v>166</v>
      </c>
    </row>
    <row r="55" spans="3:30" s="3" customFormat="1" ht="5.0999999999999996" customHeight="1" x14ac:dyDescent="0.2">
      <c r="C55" s="4"/>
    </row>
    <row r="56" spans="3:30" s="3" customFormat="1" ht="48" customHeight="1" x14ac:dyDescent="0.2">
      <c r="C56" s="4"/>
      <c r="F56" s="509" t="s">
        <v>167</v>
      </c>
      <c r="G56" s="509"/>
      <c r="H56" s="509"/>
      <c r="I56" s="509"/>
      <c r="K56" s="476" t="s">
        <v>322</v>
      </c>
      <c r="L56" s="459"/>
      <c r="M56" s="459"/>
      <c r="N56" s="459"/>
      <c r="O56" s="459"/>
      <c r="P56" s="477"/>
      <c r="R56" s="1226" t="s">
        <v>359</v>
      </c>
      <c r="S56" s="1227"/>
      <c r="T56" s="1227"/>
      <c r="V56" s="887">
        <v>1</v>
      </c>
      <c r="W56" s="888"/>
      <c r="X56" s="409" t="s">
        <v>324</v>
      </c>
      <c r="Y56" s="409"/>
      <c r="Z56" s="409"/>
      <c r="AA56" s="409"/>
      <c r="AB56" s="409"/>
      <c r="AC56" s="409"/>
      <c r="AD56" s="410"/>
    </row>
    <row r="57" spans="3:30" s="3" customFormat="1" ht="48" customHeight="1" x14ac:dyDescent="0.2">
      <c r="C57" s="4"/>
      <c r="F57" s="509"/>
      <c r="G57" s="509"/>
      <c r="H57" s="509"/>
      <c r="I57" s="509"/>
      <c r="K57" s="476" t="s">
        <v>323</v>
      </c>
      <c r="L57" s="459"/>
      <c r="M57" s="459"/>
      <c r="N57" s="459"/>
      <c r="O57" s="459"/>
      <c r="P57" s="477"/>
      <c r="R57" s="1227"/>
      <c r="S57" s="1227"/>
      <c r="T57" s="1227"/>
      <c r="V57" s="887">
        <v>1</v>
      </c>
      <c r="W57" s="888"/>
      <c r="X57" s="409" t="s">
        <v>325</v>
      </c>
      <c r="Y57" s="409"/>
      <c r="Z57" s="409"/>
      <c r="AA57" s="409"/>
      <c r="AB57" s="409"/>
      <c r="AC57" s="409"/>
      <c r="AD57" s="410"/>
    </row>
    <row r="58" spans="3:30" s="3" customFormat="1" ht="20.100000000000001" customHeight="1" x14ac:dyDescent="0.2">
      <c r="C58" s="4"/>
      <c r="V58" s="426" t="s">
        <v>133</v>
      </c>
      <c r="W58" s="426"/>
      <c r="X58" s="426"/>
      <c r="Y58" s="426"/>
      <c r="Z58" s="426"/>
      <c r="AA58" s="426"/>
      <c r="AB58" s="426"/>
      <c r="AC58" s="426"/>
      <c r="AD58" s="426"/>
    </row>
    <row r="59" spans="3:30" s="3" customFormat="1" ht="20.100000000000001" customHeight="1" x14ac:dyDescent="0.2">
      <c r="C59" s="4"/>
      <c r="V59" s="426"/>
      <c r="W59" s="426"/>
      <c r="X59" s="426"/>
      <c r="Y59" s="426"/>
      <c r="Z59" s="426"/>
      <c r="AA59" s="426"/>
      <c r="AB59" s="426"/>
      <c r="AC59" s="426"/>
      <c r="AD59" s="426"/>
    </row>
    <row r="60" spans="3:30" s="3" customFormat="1" ht="15.75" x14ac:dyDescent="0.2">
      <c r="C60" s="4"/>
      <c r="V60" s="31"/>
      <c r="W60" s="31"/>
      <c r="X60" s="31"/>
      <c r="Y60" s="31"/>
      <c r="Z60" s="31"/>
      <c r="AA60" s="31"/>
      <c r="AB60" s="31"/>
      <c r="AC60" s="31"/>
      <c r="AD60" s="31"/>
    </row>
    <row r="61" spans="3:30" s="3" customFormat="1" ht="15.75" x14ac:dyDescent="0.2">
      <c r="C61" s="4"/>
      <c r="D61" s="386"/>
      <c r="E61" s="386"/>
      <c r="F61" s="3" t="s">
        <v>169</v>
      </c>
      <c r="M61" s="32"/>
      <c r="N61" s="33"/>
      <c r="O61" s="34"/>
      <c r="P61" s="34"/>
      <c r="Q61" s="34"/>
      <c r="R61" s="34"/>
      <c r="S61" s="34"/>
    </row>
    <row r="62" spans="3:30" s="3" customFormat="1" ht="5.0999999999999996" customHeight="1" x14ac:dyDescent="0.2">
      <c r="C62" s="4"/>
    </row>
    <row r="63" spans="3:30" s="3" customFormat="1" ht="22.5" customHeight="1" x14ac:dyDescent="0.2">
      <c r="D63" s="18"/>
      <c r="E63" s="18"/>
      <c r="F63" s="1169" t="s">
        <v>170</v>
      </c>
      <c r="G63" s="1169"/>
      <c r="H63" s="1169"/>
      <c r="J63" s="1212" t="s">
        <v>370</v>
      </c>
      <c r="K63" s="1213"/>
      <c r="L63" s="1213"/>
      <c r="M63" s="1213"/>
      <c r="N63" s="1213"/>
      <c r="O63" s="1214"/>
      <c r="P63" s="39">
        <v>3</v>
      </c>
      <c r="Q63" s="1208" t="s">
        <v>327</v>
      </c>
      <c r="R63" s="1208"/>
      <c r="S63" s="1209"/>
      <c r="U63" s="1169" t="s">
        <v>359</v>
      </c>
      <c r="V63" s="1169"/>
      <c r="W63" s="7"/>
      <c r="X63" s="273">
        <v>3</v>
      </c>
      <c r="Y63" s="1210" t="s">
        <v>327</v>
      </c>
      <c r="Z63" s="1211"/>
      <c r="AA63" s="1211"/>
      <c r="AB63" s="1211"/>
      <c r="AC63" s="7"/>
      <c r="AD63" s="7"/>
    </row>
    <row r="64" spans="3:30" s="3" customFormat="1" ht="23.1" customHeight="1" x14ac:dyDescent="0.2">
      <c r="D64" s="18"/>
      <c r="E64" s="18"/>
      <c r="F64" s="1170"/>
      <c r="G64" s="1170"/>
      <c r="H64" s="1170"/>
      <c r="J64" s="1215"/>
      <c r="K64" s="1216"/>
      <c r="L64" s="1216"/>
      <c r="M64" s="1216"/>
      <c r="N64" s="1216"/>
      <c r="O64" s="1217"/>
      <c r="P64" s="39">
        <v>6</v>
      </c>
      <c r="Q64" s="1208" t="s">
        <v>326</v>
      </c>
      <c r="R64" s="1208"/>
      <c r="S64" s="1209"/>
      <c r="U64" s="1170"/>
      <c r="V64" s="1170"/>
      <c r="W64" s="7"/>
      <c r="X64" s="273">
        <v>6</v>
      </c>
      <c r="Y64" s="1210" t="s">
        <v>326</v>
      </c>
      <c r="Z64" s="1211"/>
      <c r="AA64" s="1211"/>
      <c r="AB64" s="1211"/>
      <c r="AC64" s="7"/>
      <c r="AD64" s="7"/>
    </row>
    <row r="65" spans="4:30" s="3" customFormat="1" ht="23.1" customHeight="1" x14ac:dyDescent="0.2">
      <c r="D65" s="18"/>
      <c r="E65" s="18"/>
      <c r="F65" s="1170"/>
      <c r="G65" s="1170"/>
      <c r="H65" s="1170"/>
      <c r="J65" s="1212" t="s">
        <v>80</v>
      </c>
      <c r="K65" s="1213"/>
      <c r="L65" s="1213"/>
      <c r="M65" s="1213"/>
      <c r="N65" s="1213"/>
      <c r="O65" s="1214"/>
      <c r="P65" s="39">
        <v>2</v>
      </c>
      <c r="Q65" s="1208" t="s">
        <v>327</v>
      </c>
      <c r="R65" s="1208"/>
      <c r="S65" s="1209"/>
      <c r="U65" s="1170"/>
      <c r="V65" s="1170"/>
      <c r="W65" s="7"/>
      <c r="X65" s="273">
        <v>2</v>
      </c>
      <c r="Y65" s="1210" t="s">
        <v>327</v>
      </c>
      <c r="Z65" s="1211"/>
      <c r="AA65" s="1211"/>
      <c r="AB65" s="1211"/>
      <c r="AC65" s="7"/>
      <c r="AD65" s="7"/>
    </row>
    <row r="66" spans="4:30" s="3" customFormat="1" ht="23.1" customHeight="1" x14ac:dyDescent="0.2">
      <c r="D66" s="18"/>
      <c r="E66" s="18"/>
      <c r="F66" s="1170"/>
      <c r="G66" s="1170"/>
      <c r="H66" s="1170"/>
      <c r="J66" s="1215"/>
      <c r="K66" s="1216"/>
      <c r="L66" s="1216"/>
      <c r="M66" s="1216"/>
      <c r="N66" s="1216"/>
      <c r="O66" s="1217"/>
      <c r="P66" s="39">
        <v>4</v>
      </c>
      <c r="Q66" s="1208" t="s">
        <v>326</v>
      </c>
      <c r="R66" s="1208"/>
      <c r="S66" s="1209"/>
      <c r="U66" s="1170"/>
      <c r="V66" s="1170"/>
      <c r="W66" s="7"/>
      <c r="X66" s="273">
        <v>4</v>
      </c>
      <c r="Y66" s="1210" t="s">
        <v>326</v>
      </c>
      <c r="Z66" s="1211"/>
      <c r="AA66" s="1211"/>
      <c r="AB66" s="1211"/>
      <c r="AC66" s="7"/>
      <c r="AD66" s="7"/>
    </row>
    <row r="67" spans="4:30" s="3" customFormat="1" ht="23.1" customHeight="1" x14ac:dyDescent="0.2">
      <c r="D67" s="18"/>
      <c r="E67" s="18"/>
      <c r="F67" s="1170"/>
      <c r="G67" s="1170"/>
      <c r="H67" s="1170"/>
      <c r="I67" s="7"/>
      <c r="J67" s="1212" t="s">
        <v>81</v>
      </c>
      <c r="K67" s="1213"/>
      <c r="L67" s="1213"/>
      <c r="M67" s="1213"/>
      <c r="N67" s="1213"/>
      <c r="O67" s="1214"/>
      <c r="P67" s="39">
        <v>2</v>
      </c>
      <c r="Q67" s="1208" t="s">
        <v>327</v>
      </c>
      <c r="R67" s="1208"/>
      <c r="S67" s="1209"/>
      <c r="U67" s="1170"/>
      <c r="V67" s="1170"/>
      <c r="W67" s="7"/>
      <c r="X67" s="273">
        <v>2</v>
      </c>
      <c r="Y67" s="1210" t="s">
        <v>327</v>
      </c>
      <c r="Z67" s="1211"/>
      <c r="AA67" s="1211"/>
      <c r="AB67" s="1211"/>
      <c r="AC67" s="7"/>
      <c r="AD67" s="7"/>
    </row>
    <row r="68" spans="4:30" s="3" customFormat="1" ht="23.1" customHeight="1" x14ac:dyDescent="0.2">
      <c r="D68" s="18"/>
      <c r="E68" s="18"/>
      <c r="F68" s="1170"/>
      <c r="G68" s="1170"/>
      <c r="H68" s="1170"/>
      <c r="I68" s="7"/>
      <c r="J68" s="1215"/>
      <c r="K68" s="1216"/>
      <c r="L68" s="1216"/>
      <c r="M68" s="1216"/>
      <c r="N68" s="1216"/>
      <c r="O68" s="1217"/>
      <c r="P68" s="39">
        <v>4</v>
      </c>
      <c r="Q68" s="1208" t="s">
        <v>326</v>
      </c>
      <c r="R68" s="1208"/>
      <c r="S68" s="1209"/>
      <c r="U68" s="1170"/>
      <c r="V68" s="1170"/>
      <c r="W68" s="7"/>
      <c r="X68" s="273">
        <v>4</v>
      </c>
      <c r="Y68" s="1210" t="s">
        <v>326</v>
      </c>
      <c r="Z68" s="1211"/>
      <c r="AA68" s="1211"/>
      <c r="AB68" s="1211"/>
      <c r="AC68" s="7"/>
      <c r="AD68" s="7"/>
    </row>
    <row r="69" spans="4:30" s="3" customFormat="1" ht="23.1" customHeight="1" x14ac:dyDescent="0.2">
      <c r="D69" s="18"/>
      <c r="E69" s="18"/>
      <c r="F69" s="1170"/>
      <c r="G69" s="1170"/>
      <c r="H69" s="1170"/>
      <c r="I69" s="7"/>
      <c r="J69" s="1221" t="s">
        <v>173</v>
      </c>
      <c r="K69" s="1222"/>
      <c r="L69" s="1222"/>
      <c r="M69" s="1222"/>
      <c r="N69" s="1222"/>
      <c r="O69" s="1223"/>
      <c r="P69" s="39">
        <v>1</v>
      </c>
      <c r="Q69" s="1208" t="s">
        <v>328</v>
      </c>
      <c r="R69" s="1208"/>
      <c r="S69" s="1209"/>
      <c r="U69" s="1170"/>
      <c r="V69" s="1170"/>
      <c r="W69" s="36"/>
      <c r="X69" s="273">
        <v>1</v>
      </c>
      <c r="Y69" s="1210" t="s">
        <v>328</v>
      </c>
      <c r="Z69" s="1211"/>
      <c r="AA69" s="1211"/>
      <c r="AB69" s="1211"/>
      <c r="AC69" s="7"/>
      <c r="AD69" s="7"/>
    </row>
    <row r="70" spans="4:30" s="3" customFormat="1" ht="23.1" customHeight="1" x14ac:dyDescent="0.2">
      <c r="D70" s="18"/>
      <c r="E70" s="18"/>
      <c r="F70" s="1170"/>
      <c r="G70" s="1170"/>
      <c r="H70" s="1170"/>
      <c r="I70" s="7"/>
      <c r="J70" s="1212" t="s">
        <v>75</v>
      </c>
      <c r="K70" s="1213"/>
      <c r="L70" s="1213"/>
      <c r="M70" s="1213"/>
      <c r="N70" s="1213"/>
      <c r="O70" s="1214"/>
      <c r="P70" s="40">
        <v>2</v>
      </c>
      <c r="Q70" s="1208" t="s">
        <v>327</v>
      </c>
      <c r="R70" s="1208"/>
      <c r="S70" s="1209"/>
      <c r="U70" s="1170"/>
      <c r="V70" s="1170"/>
      <c r="W70" s="36"/>
      <c r="X70" s="273">
        <v>2</v>
      </c>
      <c r="Y70" s="1210" t="s">
        <v>327</v>
      </c>
      <c r="Z70" s="1211"/>
      <c r="AA70" s="1211"/>
      <c r="AB70" s="1211"/>
      <c r="AC70" s="7"/>
      <c r="AD70" s="7"/>
    </row>
    <row r="71" spans="4:30" s="3" customFormat="1" ht="23.1" customHeight="1" x14ac:dyDescent="0.2">
      <c r="D71" s="18"/>
      <c r="E71" s="18"/>
      <c r="F71" s="1170"/>
      <c r="G71" s="1170"/>
      <c r="H71" s="1170"/>
      <c r="I71" s="7"/>
      <c r="J71" s="1215"/>
      <c r="K71" s="1216"/>
      <c r="L71" s="1216"/>
      <c r="M71" s="1216"/>
      <c r="N71" s="1216"/>
      <c r="O71" s="1217"/>
      <c r="P71" s="39">
        <v>4</v>
      </c>
      <c r="Q71" s="1208" t="s">
        <v>326</v>
      </c>
      <c r="R71" s="1208"/>
      <c r="S71" s="1209"/>
      <c r="U71" s="1170"/>
      <c r="V71" s="1170"/>
      <c r="W71" s="36"/>
      <c r="X71" s="273">
        <v>4</v>
      </c>
      <c r="Y71" s="1210" t="s">
        <v>326</v>
      </c>
      <c r="Z71" s="1211"/>
      <c r="AA71" s="1211"/>
      <c r="AB71" s="1211"/>
      <c r="AC71" s="7"/>
      <c r="AD71" s="7"/>
    </row>
    <row r="72" spans="4:30" s="3" customFormat="1" ht="23.1" customHeight="1" x14ac:dyDescent="0.2">
      <c r="D72" s="18"/>
      <c r="E72" s="18"/>
      <c r="F72" s="1170"/>
      <c r="G72" s="1170"/>
      <c r="H72" s="1170"/>
      <c r="I72" s="7"/>
      <c r="J72" s="1212" t="s">
        <v>68</v>
      </c>
      <c r="K72" s="1213"/>
      <c r="L72" s="1213"/>
      <c r="M72" s="1213"/>
      <c r="N72" s="1213"/>
      <c r="O72" s="1214"/>
      <c r="P72" s="40">
        <v>1</v>
      </c>
      <c r="Q72" s="1208" t="s">
        <v>327</v>
      </c>
      <c r="R72" s="1208"/>
      <c r="S72" s="1209"/>
      <c r="U72" s="1170"/>
      <c r="V72" s="1170"/>
      <c r="W72" s="36"/>
      <c r="X72" s="273">
        <v>1</v>
      </c>
      <c r="Y72" s="1210" t="s">
        <v>327</v>
      </c>
      <c r="Z72" s="1211"/>
      <c r="AA72" s="1211"/>
      <c r="AB72" s="1211"/>
      <c r="AC72" s="7"/>
      <c r="AD72" s="7"/>
    </row>
    <row r="73" spans="4:30" s="3" customFormat="1" ht="23.1" customHeight="1" x14ac:dyDescent="0.2">
      <c r="D73" s="18"/>
      <c r="E73" s="18"/>
      <c r="F73" s="1170"/>
      <c r="G73" s="1170"/>
      <c r="H73" s="1170"/>
      <c r="I73" s="7"/>
      <c r="J73" s="1215"/>
      <c r="K73" s="1216"/>
      <c r="L73" s="1216"/>
      <c r="M73" s="1216"/>
      <c r="N73" s="1216"/>
      <c r="O73" s="1217"/>
      <c r="P73" s="40">
        <v>2</v>
      </c>
      <c r="Q73" s="1208" t="s">
        <v>326</v>
      </c>
      <c r="R73" s="1208"/>
      <c r="S73" s="1209"/>
      <c r="U73" s="1170"/>
      <c r="V73" s="1170"/>
      <c r="W73" s="36"/>
      <c r="X73" s="273">
        <v>2</v>
      </c>
      <c r="Y73" s="1210" t="s">
        <v>326</v>
      </c>
      <c r="Z73" s="1211"/>
      <c r="AA73" s="1211"/>
      <c r="AB73" s="1211"/>
      <c r="AC73" s="7"/>
      <c r="AD73" s="7"/>
    </row>
    <row r="74" spans="4:30" s="3" customFormat="1" ht="23.1" customHeight="1" x14ac:dyDescent="0.2">
      <c r="D74" s="18"/>
      <c r="E74" s="18"/>
      <c r="F74" s="1170"/>
      <c r="G74" s="1170"/>
      <c r="H74" s="1170"/>
      <c r="I74" s="7"/>
      <c r="J74" s="1212" t="s">
        <v>70</v>
      </c>
      <c r="K74" s="1213"/>
      <c r="L74" s="1213"/>
      <c r="M74" s="1213"/>
      <c r="N74" s="1213"/>
      <c r="O74" s="1214"/>
      <c r="P74" s="39">
        <v>1</v>
      </c>
      <c r="Q74" s="1208" t="s">
        <v>327</v>
      </c>
      <c r="R74" s="1208"/>
      <c r="S74" s="1209"/>
      <c r="U74" s="1170"/>
      <c r="V74" s="1170"/>
      <c r="W74" s="36"/>
      <c r="X74" s="273">
        <v>1</v>
      </c>
      <c r="Y74" s="1210" t="s">
        <v>327</v>
      </c>
      <c r="Z74" s="1211"/>
      <c r="AA74" s="1211"/>
      <c r="AB74" s="1211"/>
      <c r="AC74" s="7"/>
      <c r="AD74" s="7"/>
    </row>
    <row r="75" spans="4:30" s="3" customFormat="1" ht="23.1" customHeight="1" x14ac:dyDescent="0.2">
      <c r="D75" s="18"/>
      <c r="E75" s="18"/>
      <c r="F75" s="1170"/>
      <c r="G75" s="1170"/>
      <c r="H75" s="1170"/>
      <c r="I75" s="7"/>
      <c r="J75" s="1215"/>
      <c r="K75" s="1216"/>
      <c r="L75" s="1216"/>
      <c r="M75" s="1216"/>
      <c r="N75" s="1216"/>
      <c r="O75" s="1217"/>
      <c r="P75" s="39">
        <v>2</v>
      </c>
      <c r="Q75" s="1208" t="s">
        <v>326</v>
      </c>
      <c r="R75" s="1208"/>
      <c r="S75" s="1209"/>
      <c r="U75" s="1170"/>
      <c r="V75" s="1170"/>
      <c r="W75" s="36"/>
      <c r="X75" s="273">
        <v>2</v>
      </c>
      <c r="Y75" s="1210" t="s">
        <v>326</v>
      </c>
      <c r="Z75" s="1211"/>
      <c r="AA75" s="1211"/>
      <c r="AB75" s="1211"/>
      <c r="AC75" s="7"/>
      <c r="AD75" s="7"/>
    </row>
    <row r="76" spans="4:30" s="3" customFormat="1" ht="23.1" customHeight="1" x14ac:dyDescent="0.2">
      <c r="D76" s="18"/>
      <c r="E76" s="18"/>
      <c r="F76" s="1170"/>
      <c r="G76" s="1170"/>
      <c r="H76" s="1170"/>
      <c r="I76" s="7"/>
      <c r="J76" s="1212" t="s">
        <v>71</v>
      </c>
      <c r="K76" s="1213"/>
      <c r="L76" s="1213"/>
      <c r="M76" s="1213"/>
      <c r="N76" s="1213"/>
      <c r="O76" s="1214"/>
      <c r="P76" s="39">
        <v>1</v>
      </c>
      <c r="Q76" s="1208" t="s">
        <v>327</v>
      </c>
      <c r="R76" s="1208"/>
      <c r="S76" s="1209"/>
      <c r="U76" s="1170"/>
      <c r="V76" s="1170"/>
      <c r="W76" s="36"/>
      <c r="X76" s="273">
        <v>1</v>
      </c>
      <c r="Y76" s="1210" t="s">
        <v>327</v>
      </c>
      <c r="Z76" s="1211"/>
      <c r="AA76" s="1211"/>
      <c r="AB76" s="1211"/>
      <c r="AC76" s="7"/>
      <c r="AD76" s="7"/>
    </row>
    <row r="77" spans="4:30" s="3" customFormat="1" ht="23.1" customHeight="1" x14ac:dyDescent="0.2">
      <c r="D77" s="18"/>
      <c r="E77" s="18"/>
      <c r="F77" s="1170"/>
      <c r="G77" s="1170"/>
      <c r="H77" s="1170"/>
      <c r="I77" s="7"/>
      <c r="J77" s="1215"/>
      <c r="K77" s="1216"/>
      <c r="L77" s="1216"/>
      <c r="M77" s="1216"/>
      <c r="N77" s="1216"/>
      <c r="O77" s="1217"/>
      <c r="P77" s="39">
        <v>2</v>
      </c>
      <c r="Q77" s="1208" t="s">
        <v>326</v>
      </c>
      <c r="R77" s="1208"/>
      <c r="S77" s="1209"/>
      <c r="U77" s="1170"/>
      <c r="V77" s="1170"/>
      <c r="W77" s="36"/>
      <c r="X77" s="273">
        <v>2</v>
      </c>
      <c r="Y77" s="1210" t="s">
        <v>326</v>
      </c>
      <c r="Z77" s="1211"/>
      <c r="AA77" s="1211"/>
      <c r="AB77" s="1211"/>
      <c r="AC77" s="7"/>
      <c r="AD77" s="7"/>
    </row>
    <row r="78" spans="4:30" s="3" customFormat="1" ht="23.1" customHeight="1" x14ac:dyDescent="0.2">
      <c r="D78" s="18"/>
      <c r="E78" s="18"/>
      <c r="F78" s="1170"/>
      <c r="G78" s="1170"/>
      <c r="H78" s="1170"/>
      <c r="I78" s="7"/>
      <c r="J78" s="1212" t="s">
        <v>72</v>
      </c>
      <c r="K78" s="1213"/>
      <c r="L78" s="1213"/>
      <c r="M78" s="1213"/>
      <c r="N78" s="1213"/>
      <c r="O78" s="1214"/>
      <c r="P78" s="39">
        <v>1</v>
      </c>
      <c r="Q78" s="1208" t="s">
        <v>327</v>
      </c>
      <c r="R78" s="1208"/>
      <c r="S78" s="1209"/>
      <c r="U78" s="1170"/>
      <c r="V78" s="1170"/>
      <c r="W78" s="36"/>
      <c r="X78" s="273">
        <v>1</v>
      </c>
      <c r="Y78" s="1210" t="s">
        <v>327</v>
      </c>
      <c r="Z78" s="1211"/>
      <c r="AA78" s="1211"/>
      <c r="AB78" s="1211"/>
      <c r="AC78" s="7"/>
      <c r="AD78" s="7"/>
    </row>
    <row r="79" spans="4:30" s="3" customFormat="1" ht="23.1" customHeight="1" x14ac:dyDescent="0.2">
      <c r="D79" s="18"/>
      <c r="E79" s="18"/>
      <c r="F79" s="1170"/>
      <c r="G79" s="1170"/>
      <c r="H79" s="1170"/>
      <c r="I79" s="7"/>
      <c r="J79" s="1215"/>
      <c r="K79" s="1216"/>
      <c r="L79" s="1216"/>
      <c r="M79" s="1216"/>
      <c r="N79" s="1216"/>
      <c r="O79" s="1217"/>
      <c r="P79" s="41">
        <v>2</v>
      </c>
      <c r="Q79" s="1208" t="s">
        <v>326</v>
      </c>
      <c r="R79" s="1208"/>
      <c r="S79" s="1209"/>
      <c r="U79" s="1170"/>
      <c r="V79" s="1170"/>
      <c r="W79" s="36"/>
      <c r="X79" s="273">
        <v>2</v>
      </c>
      <c r="Y79" s="1210" t="s">
        <v>326</v>
      </c>
      <c r="Z79" s="1211"/>
      <c r="AA79" s="1211"/>
      <c r="AB79" s="1211"/>
      <c r="AC79" s="7"/>
      <c r="AD79" s="7"/>
    </row>
    <row r="80" spans="4:30" s="3" customFormat="1" ht="23.1" customHeight="1" x14ac:dyDescent="0.2">
      <c r="D80" s="18"/>
      <c r="E80" s="18"/>
      <c r="F80" s="1170"/>
      <c r="G80" s="1170"/>
      <c r="H80" s="1170"/>
      <c r="I80" s="7"/>
      <c r="J80" s="1221" t="s">
        <v>106</v>
      </c>
      <c r="K80" s="1222"/>
      <c r="L80" s="1222"/>
      <c r="M80" s="1222"/>
      <c r="N80" s="1222"/>
      <c r="O80" s="1223"/>
      <c r="P80" s="41">
        <v>1</v>
      </c>
      <c r="Q80" s="1208" t="s">
        <v>328</v>
      </c>
      <c r="R80" s="1208"/>
      <c r="S80" s="1209"/>
      <c r="U80" s="1170"/>
      <c r="V80" s="1170"/>
      <c r="W80" s="36"/>
      <c r="X80" s="273">
        <v>1</v>
      </c>
      <c r="Y80" s="1210" t="s">
        <v>328</v>
      </c>
      <c r="Z80" s="1211"/>
      <c r="AA80" s="1211"/>
      <c r="AB80" s="1211"/>
      <c r="AC80" s="7"/>
      <c r="AD80" s="7"/>
    </row>
    <row r="81" spans="3:32" s="3" customFormat="1" ht="23.1" customHeight="1" x14ac:dyDescent="0.2">
      <c r="D81" s="18"/>
      <c r="E81" s="18"/>
      <c r="F81" s="1170"/>
      <c r="G81" s="1170"/>
      <c r="H81" s="1170"/>
      <c r="I81" s="7"/>
      <c r="J81" s="1221" t="s">
        <v>94</v>
      </c>
      <c r="K81" s="1222"/>
      <c r="L81" s="1222"/>
      <c r="M81" s="1222"/>
      <c r="N81" s="1222"/>
      <c r="O81" s="1223"/>
      <c r="P81" s="39">
        <v>1</v>
      </c>
      <c r="Q81" s="1208" t="s">
        <v>328</v>
      </c>
      <c r="R81" s="1208"/>
      <c r="S81" s="1209"/>
      <c r="U81" s="1170"/>
      <c r="V81" s="1170"/>
      <c r="W81" s="36"/>
      <c r="X81" s="273">
        <v>1</v>
      </c>
      <c r="Y81" s="1210" t="s">
        <v>328</v>
      </c>
      <c r="Z81" s="1211"/>
      <c r="AA81" s="1211"/>
      <c r="AB81" s="1211"/>
      <c r="AC81" s="7"/>
      <c r="AD81" s="7"/>
    </row>
    <row r="82" spans="3:32" s="3" customFormat="1" ht="23.1" customHeight="1" x14ac:dyDescent="0.2">
      <c r="D82" s="18"/>
      <c r="E82" s="18"/>
      <c r="F82" s="1170"/>
      <c r="G82" s="1170"/>
      <c r="H82" s="1170"/>
      <c r="I82" s="7"/>
      <c r="J82" s="1221" t="s">
        <v>95</v>
      </c>
      <c r="K82" s="1222"/>
      <c r="L82" s="1222"/>
      <c r="M82" s="1222"/>
      <c r="N82" s="1222"/>
      <c r="O82" s="1223"/>
      <c r="P82" s="40">
        <v>1</v>
      </c>
      <c r="Q82" s="1208" t="s">
        <v>328</v>
      </c>
      <c r="R82" s="1208"/>
      <c r="S82" s="1209"/>
      <c r="U82" s="1170"/>
      <c r="V82" s="1170"/>
      <c r="W82" s="36"/>
      <c r="X82" s="273">
        <v>1</v>
      </c>
      <c r="Y82" s="1210" t="s">
        <v>328</v>
      </c>
      <c r="Z82" s="1211"/>
      <c r="AA82" s="1211"/>
      <c r="AB82" s="1211"/>
      <c r="AC82" s="7"/>
      <c r="AD82" s="7"/>
    </row>
    <row r="83" spans="3:32" s="3" customFormat="1" ht="23.1" customHeight="1" x14ac:dyDescent="0.2">
      <c r="D83" s="18"/>
      <c r="E83" s="18"/>
      <c r="F83" s="1170"/>
      <c r="G83" s="1170"/>
      <c r="H83" s="1170"/>
      <c r="I83" s="7"/>
      <c r="J83" s="1221" t="s">
        <v>93</v>
      </c>
      <c r="K83" s="1222"/>
      <c r="L83" s="1222"/>
      <c r="M83" s="1222"/>
      <c r="N83" s="1222"/>
      <c r="O83" s="1223"/>
      <c r="P83" s="40">
        <v>1</v>
      </c>
      <c r="Q83" s="1208" t="s">
        <v>328</v>
      </c>
      <c r="R83" s="1208"/>
      <c r="S83" s="1209"/>
      <c r="U83" s="1170"/>
      <c r="V83" s="1170"/>
      <c r="W83" s="36"/>
      <c r="X83" s="273">
        <v>1</v>
      </c>
      <c r="Y83" s="1210" t="s">
        <v>328</v>
      </c>
      <c r="Z83" s="1211"/>
      <c r="AA83" s="1211"/>
      <c r="AB83" s="1211"/>
      <c r="AC83" s="7"/>
      <c r="AD83" s="7"/>
    </row>
    <row r="84" spans="3:32" s="3" customFormat="1" ht="23.1" customHeight="1" x14ac:dyDescent="0.2">
      <c r="D84" s="18"/>
      <c r="E84" s="18"/>
      <c r="F84" s="1170"/>
      <c r="G84" s="1170"/>
      <c r="H84" s="1170"/>
      <c r="I84" s="7"/>
      <c r="J84" s="1212" t="s">
        <v>103</v>
      </c>
      <c r="K84" s="1213"/>
      <c r="L84" s="1213"/>
      <c r="M84" s="1213"/>
      <c r="N84" s="1213"/>
      <c r="O84" s="1214"/>
      <c r="P84" s="40">
        <v>1</v>
      </c>
      <c r="Q84" s="1208" t="s">
        <v>327</v>
      </c>
      <c r="R84" s="1208"/>
      <c r="S84" s="1209"/>
      <c r="T84" s="7"/>
      <c r="U84" s="1170"/>
      <c r="V84" s="1170"/>
      <c r="W84" s="7"/>
      <c r="X84" s="273">
        <v>1</v>
      </c>
      <c r="Y84" s="1210" t="s">
        <v>327</v>
      </c>
      <c r="Z84" s="1211"/>
      <c r="AA84" s="1211"/>
      <c r="AB84" s="1211"/>
      <c r="AC84" s="7"/>
      <c r="AD84" s="7"/>
    </row>
    <row r="85" spans="3:32" s="3" customFormat="1" ht="23.1" customHeight="1" x14ac:dyDescent="0.2">
      <c r="D85" s="18"/>
      <c r="E85" s="18"/>
      <c r="F85" s="1170"/>
      <c r="G85" s="1170"/>
      <c r="H85" s="1170"/>
      <c r="I85" s="7"/>
      <c r="J85" s="1215"/>
      <c r="K85" s="1216"/>
      <c r="L85" s="1216"/>
      <c r="M85" s="1216"/>
      <c r="N85" s="1216"/>
      <c r="O85" s="1217"/>
      <c r="P85" s="40">
        <v>2</v>
      </c>
      <c r="Q85" s="1208" t="s">
        <v>326</v>
      </c>
      <c r="R85" s="1208"/>
      <c r="S85" s="1209"/>
      <c r="T85" s="7"/>
      <c r="U85" s="1170"/>
      <c r="V85" s="1170"/>
      <c r="W85" s="7"/>
      <c r="X85" s="273">
        <v>2</v>
      </c>
      <c r="Y85" s="1210" t="s">
        <v>326</v>
      </c>
      <c r="Z85" s="1211"/>
      <c r="AA85" s="1211"/>
      <c r="AB85" s="1211"/>
      <c r="AC85" s="7"/>
      <c r="AD85" s="7"/>
    </row>
    <row r="86" spans="3:32" s="3" customFormat="1" ht="23.1" customHeight="1" x14ac:dyDescent="0.2">
      <c r="D86" s="18"/>
      <c r="E86" s="18"/>
      <c r="F86" s="1170"/>
      <c r="G86" s="1170"/>
      <c r="H86" s="1170"/>
      <c r="I86" s="7"/>
      <c r="J86" s="1205" t="s">
        <v>73</v>
      </c>
      <c r="K86" s="1206"/>
      <c r="L86" s="1206"/>
      <c r="M86" s="1206"/>
      <c r="N86" s="1206"/>
      <c r="O86" s="1207"/>
      <c r="P86" s="40">
        <v>1</v>
      </c>
      <c r="Q86" s="1208" t="s">
        <v>328</v>
      </c>
      <c r="R86" s="1208"/>
      <c r="S86" s="1209"/>
      <c r="T86" s="7"/>
      <c r="U86" s="1170"/>
      <c r="V86" s="1170"/>
      <c r="W86" s="7"/>
      <c r="X86" s="273">
        <v>1</v>
      </c>
      <c r="Y86" s="1210" t="s">
        <v>328</v>
      </c>
      <c r="Z86" s="1211"/>
      <c r="AA86" s="1211"/>
      <c r="AB86" s="1211"/>
      <c r="AC86" s="7"/>
      <c r="AD86" s="7"/>
    </row>
    <row r="87" spans="3:32" s="3" customFormat="1" ht="23.1" customHeight="1" x14ac:dyDescent="0.2">
      <c r="D87" s="18"/>
      <c r="E87" s="18"/>
      <c r="F87" s="1170"/>
      <c r="G87" s="1170"/>
      <c r="H87" s="1170"/>
      <c r="I87" s="7"/>
      <c r="J87" s="1205" t="s">
        <v>85</v>
      </c>
      <c r="K87" s="1206"/>
      <c r="L87" s="1206"/>
      <c r="M87" s="1206"/>
      <c r="N87" s="1206"/>
      <c r="O87" s="1207"/>
      <c r="P87" s="40">
        <v>1</v>
      </c>
      <c r="Q87" s="1208" t="s">
        <v>328</v>
      </c>
      <c r="R87" s="1208"/>
      <c r="S87" s="1209"/>
      <c r="T87" s="7"/>
      <c r="U87" s="1170"/>
      <c r="V87" s="1170"/>
      <c r="W87" s="7"/>
      <c r="X87" s="273">
        <v>1</v>
      </c>
      <c r="Y87" s="1210" t="s">
        <v>328</v>
      </c>
      <c r="Z87" s="1211"/>
      <c r="AA87" s="1211"/>
      <c r="AB87" s="1211"/>
      <c r="AC87" s="7"/>
      <c r="AD87" s="7"/>
    </row>
    <row r="88" spans="3:32" s="3" customFormat="1" ht="23.1" customHeight="1" x14ac:dyDescent="0.2">
      <c r="D88" s="18"/>
      <c r="E88" s="18"/>
      <c r="F88" s="1170"/>
      <c r="G88" s="1170"/>
      <c r="H88" s="1170"/>
      <c r="I88" s="7"/>
      <c r="J88" s="1212" t="s">
        <v>92</v>
      </c>
      <c r="K88" s="1213"/>
      <c r="L88" s="1213"/>
      <c r="M88" s="1213"/>
      <c r="N88" s="1213"/>
      <c r="O88" s="1214"/>
      <c r="P88" s="40">
        <v>1</v>
      </c>
      <c r="Q88" s="1208" t="s">
        <v>327</v>
      </c>
      <c r="R88" s="1208"/>
      <c r="S88" s="1209"/>
      <c r="T88" s="7"/>
      <c r="U88" s="1170"/>
      <c r="V88" s="1170"/>
      <c r="W88" s="7"/>
      <c r="X88" s="273">
        <v>1</v>
      </c>
      <c r="Y88" s="1210" t="s">
        <v>327</v>
      </c>
      <c r="Z88" s="1211"/>
      <c r="AA88" s="1211"/>
      <c r="AB88" s="1211"/>
      <c r="AC88" s="7"/>
      <c r="AD88" s="7"/>
    </row>
    <row r="89" spans="3:32" s="3" customFormat="1" ht="23.1" customHeight="1" x14ac:dyDescent="0.2">
      <c r="D89" s="18"/>
      <c r="E89" s="18"/>
      <c r="F89" s="1171"/>
      <c r="G89" s="1171"/>
      <c r="H89" s="1171"/>
      <c r="I89" s="7"/>
      <c r="J89" s="1215"/>
      <c r="K89" s="1216"/>
      <c r="L89" s="1216"/>
      <c r="M89" s="1216"/>
      <c r="N89" s="1216"/>
      <c r="O89" s="1217"/>
      <c r="P89" s="40">
        <v>2</v>
      </c>
      <c r="Q89" s="1208" t="s">
        <v>326</v>
      </c>
      <c r="R89" s="1208"/>
      <c r="S89" s="1209"/>
      <c r="T89" s="7"/>
      <c r="U89" s="1171"/>
      <c r="V89" s="1171"/>
      <c r="W89" s="7"/>
      <c r="X89" s="273">
        <v>2</v>
      </c>
      <c r="Y89" s="1210" t="s">
        <v>326</v>
      </c>
      <c r="Z89" s="1211"/>
      <c r="AA89" s="1211"/>
      <c r="AB89" s="1211"/>
      <c r="AC89" s="7"/>
      <c r="AD89" s="7"/>
    </row>
    <row r="90" spans="3:32" s="3" customFormat="1" ht="7.5" customHeight="1" x14ac:dyDescent="0.2">
      <c r="D90" s="18"/>
      <c r="E90" s="18"/>
      <c r="F90" s="7"/>
      <c r="G90" s="7"/>
      <c r="H90" s="7"/>
      <c r="I90" s="7"/>
      <c r="J90" s="7"/>
      <c r="K90" s="7"/>
      <c r="L90" s="7"/>
      <c r="M90" s="7"/>
      <c r="N90" s="7"/>
      <c r="O90" s="7"/>
      <c r="P90" s="7"/>
      <c r="Q90" s="7"/>
      <c r="R90" s="7"/>
      <c r="S90" s="7"/>
      <c r="T90" s="7"/>
      <c r="U90" s="7"/>
      <c r="V90" s="7"/>
      <c r="W90" s="7"/>
      <c r="X90" s="241"/>
      <c r="Y90" s="7"/>
      <c r="Z90" s="7"/>
      <c r="AA90" s="7"/>
      <c r="AB90" s="7"/>
      <c r="AC90" s="7"/>
      <c r="AD90" s="7"/>
    </row>
    <row r="91" spans="3:32" s="3" customFormat="1" ht="15.75" customHeight="1" x14ac:dyDescent="0.2">
      <c r="D91" s="18"/>
      <c r="E91" s="18"/>
      <c r="F91" s="7"/>
      <c r="G91" s="7"/>
      <c r="H91" s="7"/>
      <c r="I91" s="7"/>
      <c r="J91" s="22"/>
      <c r="K91" s="7"/>
      <c r="L91" s="7"/>
      <c r="M91" s="7"/>
      <c r="N91" s="7"/>
      <c r="O91" s="7"/>
      <c r="P91" s="7"/>
      <c r="Q91" s="7"/>
      <c r="R91" s="7"/>
      <c r="S91" s="7"/>
      <c r="T91" s="7"/>
      <c r="U91" s="209"/>
      <c r="V91" s="7"/>
      <c r="W91" s="7"/>
      <c r="X91" s="1151" t="s">
        <v>133</v>
      </c>
      <c r="Y91" s="1151"/>
      <c r="Z91" s="1151"/>
      <c r="AA91" s="1151"/>
      <c r="AB91" s="1151"/>
      <c r="AC91" s="1151"/>
      <c r="AD91" s="1151"/>
      <c r="AE91" s="37"/>
      <c r="AF91" s="37"/>
    </row>
    <row r="92" spans="3:32" s="3" customFormat="1" ht="15.75" customHeight="1" x14ac:dyDescent="0.2">
      <c r="D92" s="18"/>
      <c r="E92" s="18"/>
      <c r="F92" s="7"/>
      <c r="G92" s="7"/>
      <c r="H92" s="7"/>
      <c r="I92" s="7"/>
      <c r="J92" s="22"/>
      <c r="K92" s="7"/>
      <c r="L92" s="7"/>
      <c r="M92" s="7"/>
      <c r="N92" s="7"/>
      <c r="O92" s="7"/>
      <c r="P92" s="7"/>
      <c r="Q92" s="7"/>
      <c r="R92" s="7"/>
      <c r="S92" s="7"/>
      <c r="T92" s="7"/>
      <c r="U92" s="7"/>
      <c r="V92" s="7"/>
      <c r="W92" s="7"/>
      <c r="X92" s="1151"/>
      <c r="Y92" s="1151"/>
      <c r="Z92" s="1151"/>
      <c r="AA92" s="1151"/>
      <c r="AB92" s="1151"/>
      <c r="AC92" s="1151"/>
      <c r="AD92" s="1151"/>
      <c r="AE92" s="37"/>
      <c r="AF92" s="37"/>
    </row>
    <row r="93" spans="3:32" s="3" customFormat="1" ht="9.75" customHeight="1" x14ac:dyDescent="0.2">
      <c r="D93" s="18"/>
      <c r="E93" s="18"/>
      <c r="F93" s="7"/>
      <c r="G93" s="7"/>
      <c r="H93" s="7"/>
      <c r="I93" s="7"/>
      <c r="J93" s="38"/>
      <c r="K93" s="7"/>
      <c r="L93" s="7"/>
      <c r="M93" s="7"/>
      <c r="N93" s="7"/>
      <c r="O93" s="7"/>
      <c r="P93" s="7"/>
      <c r="Q93" s="7"/>
      <c r="R93" s="7"/>
      <c r="S93" s="7"/>
      <c r="T93" s="7"/>
      <c r="U93" s="7"/>
      <c r="V93" s="7"/>
      <c r="W93" s="7"/>
      <c r="X93" s="1151"/>
      <c r="Y93" s="1151"/>
      <c r="Z93" s="1151"/>
      <c r="AA93" s="1151"/>
      <c r="AB93" s="1151"/>
      <c r="AC93" s="1151"/>
      <c r="AD93" s="1151"/>
    </row>
    <row r="94" spans="3:32" s="3" customFormat="1" ht="7.5" customHeight="1" x14ac:dyDescent="0.2">
      <c r="C94" s="4"/>
    </row>
  </sheetData>
  <sheetProtection sheet="1"/>
  <mergeCells count="275">
    <mergeCell ref="B27:C27"/>
    <mergeCell ref="D27:F27"/>
    <mergeCell ref="G27:I27"/>
    <mergeCell ref="J27:L27"/>
    <mergeCell ref="AA22:AB22"/>
    <mergeCell ref="AA23:AB23"/>
    <mergeCell ref="AA24:AB24"/>
    <mergeCell ref="AA25:AB25"/>
    <mergeCell ref="AA26:AB26"/>
    <mergeCell ref="N24:O24"/>
    <mergeCell ref="J22:L22"/>
    <mergeCell ref="Q22:R22"/>
    <mergeCell ref="S22:T22"/>
    <mergeCell ref="U22:V22"/>
    <mergeCell ref="D26:F26"/>
    <mergeCell ref="G26:I26"/>
    <mergeCell ref="J26:L26"/>
    <mergeCell ref="Y25:Z25"/>
    <mergeCell ref="Y26:Z26"/>
    <mergeCell ref="N25:O25"/>
    <mergeCell ref="N26:O26"/>
    <mergeCell ref="Q25:R25"/>
    <mergeCell ref="S25:T25"/>
    <mergeCell ref="U25:V25"/>
    <mergeCell ref="C2:H2"/>
    <mergeCell ref="J2:O2"/>
    <mergeCell ref="Q2:V2"/>
    <mergeCell ref="AJ17:AK17"/>
    <mergeCell ref="G17:H17"/>
    <mergeCell ref="D12:E12"/>
    <mergeCell ref="I14:K14"/>
    <mergeCell ref="I15:K15"/>
    <mergeCell ref="G13:H13"/>
    <mergeCell ref="S15:U15"/>
    <mergeCell ref="M17:O18"/>
    <mergeCell ref="P17:R18"/>
    <mergeCell ref="W12:X12"/>
    <mergeCell ref="W13:X13"/>
    <mergeCell ref="Y12:Z12"/>
    <mergeCell ref="Y13:Z13"/>
    <mergeCell ref="P12:R12"/>
    <mergeCell ref="S12:U12"/>
    <mergeCell ref="S17:U18"/>
    <mergeCell ref="P13:R13"/>
    <mergeCell ref="X2:AC2"/>
    <mergeCell ref="S9:U10"/>
    <mergeCell ref="S13:U13"/>
    <mergeCell ref="M13:O13"/>
    <mergeCell ref="B9:K9"/>
    <mergeCell ref="B10:E10"/>
    <mergeCell ref="AJ13:AK13"/>
    <mergeCell ref="AJ14:AK14"/>
    <mergeCell ref="AJ15:AK15"/>
    <mergeCell ref="AJ16:AK16"/>
    <mergeCell ref="S14:U14"/>
    <mergeCell ref="G12:K12"/>
    <mergeCell ref="M9:R10"/>
    <mergeCell ref="M12:O12"/>
    <mergeCell ref="W9:AH10"/>
    <mergeCell ref="Y14:Z14"/>
    <mergeCell ref="AA14:AB14"/>
    <mergeCell ref="AC14:AE14"/>
    <mergeCell ref="AF14:AH14"/>
    <mergeCell ref="AC12:AE12"/>
    <mergeCell ref="AA12:AB12"/>
    <mergeCell ref="B12:C12"/>
    <mergeCell ref="AC13:AE13"/>
    <mergeCell ref="AA13:AB13"/>
    <mergeCell ref="W14:X14"/>
    <mergeCell ref="W15:X15"/>
    <mergeCell ref="Y15:Z15"/>
    <mergeCell ref="AC15:AE15"/>
    <mergeCell ref="B19:C19"/>
    <mergeCell ref="D13:E13"/>
    <mergeCell ref="G16:H16"/>
    <mergeCell ref="G14:H14"/>
    <mergeCell ref="G15:H15"/>
    <mergeCell ref="I13:K13"/>
    <mergeCell ref="I18:K18"/>
    <mergeCell ref="I19:K19"/>
    <mergeCell ref="G19:H19"/>
    <mergeCell ref="G18:H18"/>
    <mergeCell ref="D19:E19"/>
    <mergeCell ref="B13:C13"/>
    <mergeCell ref="B14:C14"/>
    <mergeCell ref="B15:C15"/>
    <mergeCell ref="B16:C16"/>
    <mergeCell ref="B17:C17"/>
    <mergeCell ref="B18:C18"/>
    <mergeCell ref="I17:K17"/>
    <mergeCell ref="AJ18:AK18"/>
    <mergeCell ref="AJ19:AK19"/>
    <mergeCell ref="AJ12:AK12"/>
    <mergeCell ref="AF15:AH15"/>
    <mergeCell ref="D32:E32"/>
    <mergeCell ref="U23:V23"/>
    <mergeCell ref="W23:X23"/>
    <mergeCell ref="Y23:Z23"/>
    <mergeCell ref="Q24:R24"/>
    <mergeCell ref="S24:T24"/>
    <mergeCell ref="P14:R14"/>
    <mergeCell ref="AF12:AH12"/>
    <mergeCell ref="AF13:AH13"/>
    <mergeCell ref="N21:O22"/>
    <mergeCell ref="N23:O23"/>
    <mergeCell ref="D14:E14"/>
    <mergeCell ref="D15:E15"/>
    <mergeCell ref="D16:E16"/>
    <mergeCell ref="P15:R15"/>
    <mergeCell ref="D17:E17"/>
    <mergeCell ref="D18:E18"/>
    <mergeCell ref="M15:O15"/>
    <mergeCell ref="M14:O14"/>
    <mergeCell ref="I16:K16"/>
    <mergeCell ref="F34:T34"/>
    <mergeCell ref="V34:AD34"/>
    <mergeCell ref="F36:I44"/>
    <mergeCell ref="K36:P37"/>
    <mergeCell ref="R36:T49"/>
    <mergeCell ref="V36:W36"/>
    <mergeCell ref="X36:AD36"/>
    <mergeCell ref="V37:W37"/>
    <mergeCell ref="X37:AD37"/>
    <mergeCell ref="K38:P39"/>
    <mergeCell ref="V38:W38"/>
    <mergeCell ref="X38:AD38"/>
    <mergeCell ref="V39:W39"/>
    <mergeCell ref="X39:AD39"/>
    <mergeCell ref="K40:P41"/>
    <mergeCell ref="V40:W40"/>
    <mergeCell ref="X40:AD40"/>
    <mergeCell ref="V41:W41"/>
    <mergeCell ref="X41:AD41"/>
    <mergeCell ref="F45:I49"/>
    <mergeCell ref="K45:P45"/>
    <mergeCell ref="V45:W45"/>
    <mergeCell ref="X45:AD45"/>
    <mergeCell ref="K46:P46"/>
    <mergeCell ref="V46:W46"/>
    <mergeCell ref="X46:AD46"/>
    <mergeCell ref="K42:P42"/>
    <mergeCell ref="V42:W42"/>
    <mergeCell ref="X42:AD42"/>
    <mergeCell ref="K43:P43"/>
    <mergeCell ref="V43:W43"/>
    <mergeCell ref="X43:AD43"/>
    <mergeCell ref="K47:P47"/>
    <mergeCell ref="V47:W47"/>
    <mergeCell ref="X47:AD47"/>
    <mergeCell ref="K48:P48"/>
    <mergeCell ref="V48:W48"/>
    <mergeCell ref="X48:AD48"/>
    <mergeCell ref="K44:P44"/>
    <mergeCell ref="V44:W44"/>
    <mergeCell ref="X44:AD44"/>
    <mergeCell ref="V58:AD59"/>
    <mergeCell ref="D61:E61"/>
    <mergeCell ref="G23:I23"/>
    <mergeCell ref="G24:I24"/>
    <mergeCell ref="J23:L23"/>
    <mergeCell ref="J24:L24"/>
    <mergeCell ref="F56:I57"/>
    <mergeCell ref="K56:P56"/>
    <mergeCell ref="R56:T57"/>
    <mergeCell ref="V56:W56"/>
    <mergeCell ref="X56:AD56"/>
    <mergeCell ref="K57:P57"/>
    <mergeCell ref="V57:W57"/>
    <mergeCell ref="X57:AD57"/>
    <mergeCell ref="K49:P49"/>
    <mergeCell ref="V49:W49"/>
    <mergeCell ref="X49:AD49"/>
    <mergeCell ref="V50:AD52"/>
    <mergeCell ref="D54:E54"/>
    <mergeCell ref="W22:X22"/>
    <mergeCell ref="F63:H89"/>
    <mergeCell ref="J63:O64"/>
    <mergeCell ref="Q63:S63"/>
    <mergeCell ref="U63:V89"/>
    <mergeCell ref="Y63:AB63"/>
    <mergeCell ref="Q64:S64"/>
    <mergeCell ref="Y64:AB64"/>
    <mergeCell ref="J65:O66"/>
    <mergeCell ref="Q65:S65"/>
    <mergeCell ref="Y65:AB65"/>
    <mergeCell ref="J69:O69"/>
    <mergeCell ref="Q69:S69"/>
    <mergeCell ref="Y69:AB69"/>
    <mergeCell ref="J70:O71"/>
    <mergeCell ref="Q70:S70"/>
    <mergeCell ref="Y70:AB70"/>
    <mergeCell ref="Q71:S71"/>
    <mergeCell ref="Y71:AB71"/>
    <mergeCell ref="Q66:S66"/>
    <mergeCell ref="Y66:AB66"/>
    <mergeCell ref="J67:O68"/>
    <mergeCell ref="Q67:S67"/>
    <mergeCell ref="J78:O79"/>
    <mergeCell ref="Q78:S78"/>
    <mergeCell ref="Y78:AB78"/>
    <mergeCell ref="Q79:S79"/>
    <mergeCell ref="Y79:AB79"/>
    <mergeCell ref="Y67:AB67"/>
    <mergeCell ref="Q68:S68"/>
    <mergeCell ref="Y68:AB68"/>
    <mergeCell ref="J72:O73"/>
    <mergeCell ref="Q72:S72"/>
    <mergeCell ref="Y72:AB72"/>
    <mergeCell ref="Q73:S73"/>
    <mergeCell ref="Y73:AB73"/>
    <mergeCell ref="J74:O75"/>
    <mergeCell ref="Q74:S74"/>
    <mergeCell ref="Y74:AB74"/>
    <mergeCell ref="Q75:S75"/>
    <mergeCell ref="Y75:AB75"/>
    <mergeCell ref="J25:L25"/>
    <mergeCell ref="B26:C26"/>
    <mergeCell ref="Q85:S85"/>
    <mergeCell ref="Y85:AB85"/>
    <mergeCell ref="J86:O86"/>
    <mergeCell ref="Q86:S86"/>
    <mergeCell ref="Y86:AB86"/>
    <mergeCell ref="J82:O82"/>
    <mergeCell ref="Q82:S82"/>
    <mergeCell ref="Y82:AB82"/>
    <mergeCell ref="J83:O83"/>
    <mergeCell ref="Q83:S83"/>
    <mergeCell ref="Y83:AB83"/>
    <mergeCell ref="J80:O80"/>
    <mergeCell ref="Q80:S80"/>
    <mergeCell ref="Y80:AB80"/>
    <mergeCell ref="J81:O81"/>
    <mergeCell ref="Q81:S81"/>
    <mergeCell ref="Y81:AB81"/>
    <mergeCell ref="J76:O77"/>
    <mergeCell ref="Q76:S76"/>
    <mergeCell ref="Y76:AB76"/>
    <mergeCell ref="Q77:S77"/>
    <mergeCell ref="Y77:AB77"/>
    <mergeCell ref="X91:AD93"/>
    <mergeCell ref="B21:L21"/>
    <mergeCell ref="B23:C23"/>
    <mergeCell ref="B24:C24"/>
    <mergeCell ref="D23:F23"/>
    <mergeCell ref="D24:F24"/>
    <mergeCell ref="B22:F22"/>
    <mergeCell ref="G22:I22"/>
    <mergeCell ref="J87:O87"/>
    <mergeCell ref="Q87:S87"/>
    <mergeCell ref="Y87:AB87"/>
    <mergeCell ref="J88:O89"/>
    <mergeCell ref="Q88:S88"/>
    <mergeCell ref="Y88:AB88"/>
    <mergeCell ref="Q89:S89"/>
    <mergeCell ref="Y89:AB89"/>
    <mergeCell ref="J84:O85"/>
    <mergeCell ref="Q84:S84"/>
    <mergeCell ref="W25:X25"/>
    <mergeCell ref="Q26:R26"/>
    <mergeCell ref="Y84:AB84"/>
    <mergeCell ref="B25:C25"/>
    <mergeCell ref="D25:F25"/>
    <mergeCell ref="G25:I25"/>
    <mergeCell ref="S26:T26"/>
    <mergeCell ref="U26:V26"/>
    <mergeCell ref="W26:X26"/>
    <mergeCell ref="AA15:AB15"/>
    <mergeCell ref="Y22:Z22"/>
    <mergeCell ref="Q23:R23"/>
    <mergeCell ref="S23:T23"/>
    <mergeCell ref="U24:V24"/>
    <mergeCell ref="Q21:AB21"/>
    <mergeCell ref="W24:X24"/>
    <mergeCell ref="Y24:Z24"/>
    <mergeCell ref="M19:U19"/>
  </mergeCell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ilha10"/>
  <dimension ref="B2:AQ88"/>
  <sheetViews>
    <sheetView topLeftCell="A20" zoomScaleNormal="100" workbookViewId="0">
      <selection activeCell="P24" sqref="P24:R24"/>
    </sheetView>
  </sheetViews>
  <sheetFormatPr defaultColWidth="5.125" defaultRowHeight="14.25" x14ac:dyDescent="0.2"/>
  <cols>
    <col min="1" max="1" width="2.625" style="243" customWidth="1"/>
    <col min="2" max="2" width="5.125" style="243" customWidth="1"/>
    <col min="3" max="3" width="5.875" style="243" customWidth="1"/>
    <col min="4" max="5" width="5.125" style="243" customWidth="1"/>
    <col min="6" max="6" width="1.625" style="243" customWidth="1"/>
    <col min="7" max="10" width="5.125" style="243" customWidth="1"/>
    <col min="11" max="11" width="6.25" style="243" customWidth="1"/>
    <col min="12" max="12" width="1.625" style="243" customWidth="1"/>
    <col min="13" max="21" width="5.125" style="243" customWidth="1"/>
    <col min="22" max="22" width="1.625" style="243" customWidth="1"/>
    <col min="23" max="38" width="5.125" style="243" customWidth="1"/>
    <col min="39" max="39" width="8" style="243" customWidth="1"/>
    <col min="40" max="43" width="5.125" style="243" customWidth="1"/>
    <col min="44" max="16384" width="5.125" style="243"/>
  </cols>
  <sheetData>
    <row r="2" spans="2:43"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139"/>
      <c r="AD2" s="190"/>
      <c r="AE2" s="191"/>
    </row>
    <row r="4" spans="2:43" s="3" customFormat="1" ht="15" customHeight="1" x14ac:dyDescent="0.25">
      <c r="B4" s="245" t="s">
        <v>272</v>
      </c>
      <c r="D4" s="11"/>
      <c r="E4" s="11"/>
    </row>
    <row r="5" spans="2:43" s="3" customFormat="1" ht="15" customHeight="1" x14ac:dyDescent="0.25">
      <c r="B5" s="245"/>
      <c r="D5" s="11"/>
      <c r="E5" s="11"/>
    </row>
    <row r="6" spans="2:43" ht="15" customHeight="1" x14ac:dyDescent="0.25">
      <c r="B6" s="245" t="s">
        <v>567</v>
      </c>
    </row>
    <row r="7" spans="2:43" s="3" customFormat="1" ht="15" customHeight="1" x14ac:dyDescent="0.25">
      <c r="B7" s="245"/>
      <c r="D7" s="11"/>
      <c r="E7" s="11"/>
    </row>
    <row r="8" spans="2:43" s="3" customFormat="1" ht="7.5" customHeight="1" x14ac:dyDescent="0.25">
      <c r="B8" s="245"/>
      <c r="D8" s="11"/>
      <c r="E8" s="11"/>
    </row>
    <row r="9" spans="2:43" s="22" customFormat="1" ht="15" customHeight="1" x14ac:dyDescent="0.2">
      <c r="B9" s="1245" t="s">
        <v>593</v>
      </c>
      <c r="C9" s="1245"/>
      <c r="D9" s="1245"/>
      <c r="E9" s="1245"/>
      <c r="F9" s="1245"/>
      <c r="G9" s="1245"/>
      <c r="H9" s="1245"/>
      <c r="I9" s="1245"/>
      <c r="J9" s="1245"/>
      <c r="K9" s="1245"/>
      <c r="L9" s="23"/>
      <c r="M9" s="640" t="s">
        <v>596</v>
      </c>
      <c r="N9" s="640"/>
      <c r="O9" s="640"/>
      <c r="P9" s="640"/>
      <c r="Q9" s="640"/>
      <c r="R9" s="640"/>
      <c r="S9" s="640" t="s">
        <v>580</v>
      </c>
      <c r="T9" s="640"/>
      <c r="U9" s="640"/>
      <c r="V9" s="48"/>
      <c r="W9" s="1251" t="s">
        <v>548</v>
      </c>
      <c r="X9" s="1251"/>
      <c r="Y9" s="1251"/>
      <c r="Z9" s="1251"/>
      <c r="AA9" s="1251"/>
      <c r="AB9" s="1251"/>
      <c r="AC9" s="1251"/>
      <c r="AD9" s="1251"/>
      <c r="AE9" s="1251"/>
      <c r="AF9" s="1251"/>
      <c r="AG9" s="1251"/>
      <c r="AH9" s="1251"/>
    </row>
    <row r="10" spans="2:43" s="22" customFormat="1" ht="15.75" customHeight="1" x14ac:dyDescent="0.2">
      <c r="B10" s="1246" t="s">
        <v>581</v>
      </c>
      <c r="C10" s="1247"/>
      <c r="D10" s="1247"/>
      <c r="E10" s="1248"/>
      <c r="F10" s="196"/>
      <c r="L10" s="23"/>
      <c r="M10" s="640"/>
      <c r="N10" s="640"/>
      <c r="O10" s="640"/>
      <c r="P10" s="640"/>
      <c r="Q10" s="640"/>
      <c r="R10" s="640"/>
      <c r="S10" s="640"/>
      <c r="T10" s="640"/>
      <c r="U10" s="640"/>
      <c r="V10" s="48"/>
      <c r="W10" s="1251"/>
      <c r="X10" s="1251"/>
      <c r="Y10" s="1251"/>
      <c r="Z10" s="1251"/>
      <c r="AA10" s="1251"/>
      <c r="AB10" s="1251"/>
      <c r="AC10" s="1251"/>
      <c r="AD10" s="1251"/>
      <c r="AE10" s="1251"/>
      <c r="AF10" s="1251"/>
      <c r="AG10" s="1251"/>
      <c r="AH10" s="1251"/>
    </row>
    <row r="11" spans="2:43" s="22" customFormat="1" ht="5.0999999999999996" customHeight="1" x14ac:dyDescent="0.2">
      <c r="H11" s="23"/>
      <c r="I11" s="23"/>
      <c r="J11" s="23"/>
      <c r="K11" s="23"/>
      <c r="L11" s="23"/>
      <c r="M11" s="48"/>
      <c r="N11" s="48"/>
      <c r="O11" s="48"/>
      <c r="P11" s="48"/>
      <c r="Q11" s="48"/>
      <c r="R11" s="48"/>
      <c r="T11" s="48"/>
      <c r="U11" s="48"/>
      <c r="V11" s="48"/>
      <c r="Z11" s="23"/>
      <c r="AA11" s="23"/>
      <c r="AB11" s="23"/>
      <c r="AC11" s="196"/>
      <c r="AD11" s="196"/>
      <c r="AE11" s="196"/>
      <c r="AF11" s="196"/>
      <c r="AG11" s="196"/>
      <c r="AH11" s="196"/>
    </row>
    <row r="12" spans="2:43" s="22" customFormat="1" ht="30" customHeight="1" x14ac:dyDescent="0.2">
      <c r="B12" s="476" t="s">
        <v>263</v>
      </c>
      <c r="C12" s="477"/>
      <c r="D12" s="476" t="s">
        <v>264</v>
      </c>
      <c r="E12" s="477"/>
      <c r="F12" s="21"/>
      <c r="G12" s="828" t="s">
        <v>580</v>
      </c>
      <c r="H12" s="1250"/>
      <c r="I12" s="1250"/>
      <c r="J12" s="1250"/>
      <c r="K12" s="829"/>
      <c r="L12" s="23"/>
      <c r="M12" s="744" t="s">
        <v>631</v>
      </c>
      <c r="N12" s="744"/>
      <c r="O12" s="744"/>
      <c r="P12" s="744" t="s">
        <v>560</v>
      </c>
      <c r="Q12" s="744"/>
      <c r="R12" s="744"/>
      <c r="S12" s="1249">
        <v>0.4</v>
      </c>
      <c r="T12" s="1249"/>
      <c r="U12" s="1249"/>
      <c r="W12" s="693" t="s">
        <v>263</v>
      </c>
      <c r="X12" s="1228"/>
      <c r="Y12" s="694"/>
      <c r="Z12" s="693" t="s">
        <v>230</v>
      </c>
      <c r="AA12" s="1228"/>
      <c r="AB12" s="694"/>
      <c r="AC12" s="744" t="s">
        <v>231</v>
      </c>
      <c r="AD12" s="744"/>
      <c r="AE12" s="744"/>
      <c r="AF12" s="744" t="s">
        <v>232</v>
      </c>
      <c r="AG12" s="744"/>
      <c r="AH12" s="744"/>
      <c r="AJ12" s="827" t="s">
        <v>550</v>
      </c>
      <c r="AK12" s="827"/>
      <c r="AL12" s="237" t="s">
        <v>551</v>
      </c>
      <c r="AM12" s="237" t="s">
        <v>562</v>
      </c>
      <c r="AN12" s="237" t="s">
        <v>563</v>
      </c>
      <c r="AO12" s="237" t="s">
        <v>553</v>
      </c>
      <c r="AP12" s="237" t="s">
        <v>453</v>
      </c>
      <c r="AQ12" s="237"/>
    </row>
    <row r="13" spans="2:43" s="22" customFormat="1" ht="30" customHeight="1" x14ac:dyDescent="0.2">
      <c r="B13" s="476" t="s">
        <v>31</v>
      </c>
      <c r="C13" s="477"/>
      <c r="D13" s="651">
        <v>0.04</v>
      </c>
      <c r="E13" s="653"/>
      <c r="F13" s="21"/>
      <c r="G13" s="1189">
        <v>0.04</v>
      </c>
      <c r="H13" s="1190"/>
      <c r="I13" s="1239" t="s">
        <v>687</v>
      </c>
      <c r="J13" s="1239"/>
      <c r="K13" s="1240"/>
      <c r="L13" s="23"/>
      <c r="M13" s="744" t="s">
        <v>632</v>
      </c>
      <c r="N13" s="744"/>
      <c r="O13" s="744"/>
      <c r="P13" s="744" t="s">
        <v>561</v>
      </c>
      <c r="Q13" s="744"/>
      <c r="R13" s="744"/>
      <c r="S13" s="1249">
        <v>0.35</v>
      </c>
      <c r="T13" s="1249"/>
      <c r="U13" s="1249"/>
      <c r="V13" s="23"/>
      <c r="W13" s="693" t="s">
        <v>654</v>
      </c>
      <c r="X13" s="1228"/>
      <c r="Y13" s="694"/>
      <c r="Z13" s="1229">
        <f>SUM(AP13:AP17)</f>
        <v>100.20725</v>
      </c>
      <c r="AA13" s="1230"/>
      <c r="AB13" s="1231"/>
      <c r="AC13" s="1141">
        <f>SUM(AO13:AO17)</f>
        <v>140.29015000000001</v>
      </c>
      <c r="AD13" s="1141"/>
      <c r="AE13" s="1141"/>
      <c r="AF13" s="1141">
        <f>SUM(AN13:AN17)</f>
        <v>160.33160000000001</v>
      </c>
      <c r="AG13" s="1141"/>
      <c r="AH13" s="1141"/>
      <c r="AJ13" s="805" t="s">
        <v>31</v>
      </c>
      <c r="AK13" s="805"/>
      <c r="AL13" s="202">
        <f>CADASTRO!BS17</f>
        <v>268</v>
      </c>
      <c r="AM13" s="203">
        <f t="shared" ref="AM13:AM19" si="0">AL13*G13</f>
        <v>10.72</v>
      </c>
      <c r="AN13" s="204">
        <f t="shared" ref="AN13:AN19" si="1">AM13*$S$12</f>
        <v>4.2880000000000003</v>
      </c>
      <c r="AO13" s="204">
        <f t="shared" ref="AO13:AO19" si="2">AM13*$S$13</f>
        <v>3.7519999999999998</v>
      </c>
      <c r="AP13" s="204">
        <f>AM13*$S$14</f>
        <v>2.68</v>
      </c>
      <c r="AQ13" s="204"/>
    </row>
    <row r="14" spans="2:43" s="22" customFormat="1" ht="30" customHeight="1" x14ac:dyDescent="0.2">
      <c r="B14" s="476" t="s">
        <v>489</v>
      </c>
      <c r="C14" s="477"/>
      <c r="D14" s="651">
        <v>7.8E-2</v>
      </c>
      <c r="E14" s="653"/>
      <c r="F14" s="21"/>
      <c r="G14" s="1237">
        <v>7.8E-2</v>
      </c>
      <c r="H14" s="1238"/>
      <c r="I14" s="680" t="s">
        <v>273</v>
      </c>
      <c r="J14" s="680"/>
      <c r="K14" s="1236"/>
      <c r="L14" s="23"/>
      <c r="M14" s="744" t="s">
        <v>619</v>
      </c>
      <c r="N14" s="744"/>
      <c r="O14" s="744"/>
      <c r="P14" s="744" t="s">
        <v>557</v>
      </c>
      <c r="Q14" s="744"/>
      <c r="R14" s="744"/>
      <c r="S14" s="1249">
        <v>0.25</v>
      </c>
      <c r="T14" s="1249"/>
      <c r="U14" s="1249"/>
      <c r="V14" s="23"/>
      <c r="W14" s="693" t="s">
        <v>358</v>
      </c>
      <c r="X14" s="1228"/>
      <c r="Y14" s="694"/>
      <c r="Z14" s="1229">
        <f>SUM(AP18:AP19)</f>
        <v>19.89</v>
      </c>
      <c r="AA14" s="1230"/>
      <c r="AB14" s="1231"/>
      <c r="AC14" s="1141">
        <f>SUM(AO18:AO19)</f>
        <v>27.845999999999997</v>
      </c>
      <c r="AD14" s="1141"/>
      <c r="AE14" s="1141"/>
      <c r="AF14" s="1141">
        <f>SUM(AN18:AN19)</f>
        <v>31.824000000000005</v>
      </c>
      <c r="AG14" s="1141"/>
      <c r="AH14" s="1141"/>
      <c r="AJ14" s="805" t="s">
        <v>489</v>
      </c>
      <c r="AK14" s="805"/>
      <c r="AL14" s="202">
        <f>CADASTRO!BS18+CADASTRO!BS19</f>
        <v>532</v>
      </c>
      <c r="AM14" s="204">
        <f t="shared" si="0"/>
        <v>41.496000000000002</v>
      </c>
      <c r="AN14" s="204">
        <f t="shared" si="1"/>
        <v>16.598400000000002</v>
      </c>
      <c r="AO14" s="204">
        <f t="shared" si="2"/>
        <v>14.5236</v>
      </c>
      <c r="AP14" s="204">
        <f t="shared" ref="AP14:AP19" si="3">AM14*$S$14</f>
        <v>10.374000000000001</v>
      </c>
      <c r="AQ14" s="204"/>
    </row>
    <row r="15" spans="2:43" s="22" customFormat="1" ht="30" customHeight="1" x14ac:dyDescent="0.2">
      <c r="B15" s="476" t="s">
        <v>490</v>
      </c>
      <c r="C15" s="477"/>
      <c r="D15" s="651">
        <v>0.16900000000000001</v>
      </c>
      <c r="E15" s="653"/>
      <c r="F15" s="21"/>
      <c r="G15" s="1237">
        <v>0.16900000000000001</v>
      </c>
      <c r="H15" s="1238"/>
      <c r="I15" s="680" t="s">
        <v>274</v>
      </c>
      <c r="J15" s="680"/>
      <c r="K15" s="1236"/>
      <c r="L15" s="23"/>
      <c r="M15" s="1252" t="s">
        <v>559</v>
      </c>
      <c r="N15" s="1252"/>
      <c r="O15" s="1252"/>
      <c r="P15" s="1252"/>
      <c r="Q15" s="1252"/>
      <c r="R15" s="1252"/>
      <c r="S15" s="1252"/>
      <c r="T15" s="1252"/>
      <c r="U15" s="1252"/>
      <c r="V15" s="23"/>
      <c r="W15" s="497"/>
      <c r="X15" s="497"/>
      <c r="Y15" s="1298"/>
      <c r="Z15" s="1298"/>
      <c r="AA15" s="1298"/>
      <c r="AB15" s="1298"/>
      <c r="AC15" s="1298"/>
      <c r="AD15" s="1298"/>
      <c r="AE15" s="1298"/>
      <c r="AF15" s="1298"/>
      <c r="AG15" s="1298"/>
      <c r="AH15" s="1298"/>
      <c r="AJ15" s="805" t="s">
        <v>490</v>
      </c>
      <c r="AK15" s="805"/>
      <c r="AL15" s="202">
        <f>CADASTRO!BS20+CADASTRO!BS21</f>
        <v>463</v>
      </c>
      <c r="AM15" s="203">
        <f t="shared" si="0"/>
        <v>78.247</v>
      </c>
      <c r="AN15" s="204">
        <f t="shared" si="1"/>
        <v>31.2988</v>
      </c>
      <c r="AO15" s="204">
        <f t="shared" si="2"/>
        <v>27.38645</v>
      </c>
      <c r="AP15" s="204">
        <f t="shared" si="3"/>
        <v>19.56175</v>
      </c>
      <c r="AQ15" s="204"/>
    </row>
    <row r="16" spans="2:43" s="22" customFormat="1" ht="30" customHeight="1" x14ac:dyDescent="0.2">
      <c r="B16" s="476" t="s">
        <v>493</v>
      </c>
      <c r="C16" s="477"/>
      <c r="D16" s="651">
        <v>0.32800000000000001</v>
      </c>
      <c r="E16" s="653"/>
      <c r="F16" s="21"/>
      <c r="G16" s="1237">
        <v>0.32800000000000001</v>
      </c>
      <c r="H16" s="1238"/>
      <c r="I16" s="680" t="s">
        <v>275</v>
      </c>
      <c r="J16" s="680"/>
      <c r="K16" s="1236"/>
      <c r="L16" s="23"/>
      <c r="M16" s="497"/>
      <c r="N16" s="497"/>
      <c r="O16" s="497"/>
      <c r="P16" s="497"/>
      <c r="Q16" s="497"/>
      <c r="R16" s="497"/>
      <c r="S16" s="497"/>
      <c r="T16" s="497"/>
      <c r="U16" s="497"/>
      <c r="V16" s="23"/>
      <c r="AF16" s="2"/>
      <c r="AJ16" s="805" t="s">
        <v>493</v>
      </c>
      <c r="AK16" s="805"/>
      <c r="AL16" s="202">
        <f>CADASTRO!BS22+CADASTRO!BS23</f>
        <v>447</v>
      </c>
      <c r="AM16" s="203">
        <f t="shared" si="0"/>
        <v>146.61600000000001</v>
      </c>
      <c r="AN16" s="204">
        <f t="shared" si="1"/>
        <v>58.646400000000007</v>
      </c>
      <c r="AO16" s="204">
        <f t="shared" si="2"/>
        <v>51.315600000000003</v>
      </c>
      <c r="AP16" s="204">
        <f t="shared" si="3"/>
        <v>36.654000000000003</v>
      </c>
      <c r="AQ16" s="204"/>
    </row>
    <row r="17" spans="2:43" s="22" customFormat="1" ht="30" customHeight="1" x14ac:dyDescent="0.2">
      <c r="B17" s="476" t="s">
        <v>38</v>
      </c>
      <c r="C17" s="477"/>
      <c r="D17" s="651">
        <v>0.495</v>
      </c>
      <c r="E17" s="653"/>
      <c r="F17" s="194"/>
      <c r="G17" s="1237">
        <v>0.495</v>
      </c>
      <c r="H17" s="1238"/>
      <c r="I17" s="680" t="s">
        <v>276</v>
      </c>
      <c r="J17" s="680"/>
      <c r="K17" s="1236"/>
      <c r="L17" s="23"/>
      <c r="M17" s="491"/>
      <c r="N17" s="491"/>
      <c r="O17" s="491"/>
      <c r="P17" s="1301"/>
      <c r="Q17" s="1301"/>
      <c r="R17" s="1301"/>
      <c r="S17" s="1300"/>
      <c r="T17" s="1300"/>
      <c r="U17" s="1300"/>
      <c r="V17" s="194"/>
      <c r="AF17" s="48"/>
      <c r="AJ17" s="805" t="s">
        <v>38</v>
      </c>
      <c r="AK17" s="805"/>
      <c r="AL17" s="202">
        <f>CADASTRO!BS24</f>
        <v>250</v>
      </c>
      <c r="AM17" s="203">
        <f t="shared" si="0"/>
        <v>123.75</v>
      </c>
      <c r="AN17" s="204">
        <f t="shared" si="1"/>
        <v>49.5</v>
      </c>
      <c r="AO17" s="204">
        <f t="shared" si="2"/>
        <v>43.3125</v>
      </c>
      <c r="AP17" s="204">
        <f t="shared" si="3"/>
        <v>30.9375</v>
      </c>
      <c r="AQ17" s="204"/>
    </row>
    <row r="18" spans="2:43" s="22" customFormat="1" ht="30" customHeight="1" x14ac:dyDescent="0.2">
      <c r="B18" s="476" t="s">
        <v>492</v>
      </c>
      <c r="C18" s="477"/>
      <c r="D18" s="651">
        <v>0.495</v>
      </c>
      <c r="E18" s="653"/>
      <c r="F18" s="45"/>
      <c r="G18" s="1237">
        <v>0.495</v>
      </c>
      <c r="H18" s="1238"/>
      <c r="I18" s="680" t="s">
        <v>277</v>
      </c>
      <c r="J18" s="680"/>
      <c r="K18" s="1236"/>
      <c r="L18" s="23"/>
      <c r="M18" s="491"/>
      <c r="N18" s="491"/>
      <c r="O18" s="491"/>
      <c r="P18" s="1301"/>
      <c r="Q18" s="1301"/>
      <c r="R18" s="1301"/>
      <c r="S18" s="1300"/>
      <c r="T18" s="1300"/>
      <c r="U18" s="1300"/>
      <c r="V18" s="23"/>
      <c r="AF18" s="60"/>
      <c r="AJ18" s="744" t="s">
        <v>492</v>
      </c>
      <c r="AK18" s="744"/>
      <c r="AL18" s="198">
        <f>CADASTRO!BS27</f>
        <v>50</v>
      </c>
      <c r="AM18" s="200">
        <f t="shared" si="0"/>
        <v>24.75</v>
      </c>
      <c r="AN18" s="201">
        <f t="shared" si="1"/>
        <v>9.9</v>
      </c>
      <c r="AO18" s="201">
        <f t="shared" si="2"/>
        <v>8.6624999999999996</v>
      </c>
      <c r="AP18" s="201">
        <f t="shared" si="3"/>
        <v>6.1875</v>
      </c>
      <c r="AQ18" s="201"/>
    </row>
    <row r="19" spans="2:43" s="22" customFormat="1" ht="34.5" customHeight="1" x14ac:dyDescent="0.2">
      <c r="B19" s="476" t="s">
        <v>491</v>
      </c>
      <c r="C19" s="477"/>
      <c r="D19" s="651">
        <v>0.60899999999999999</v>
      </c>
      <c r="E19" s="653"/>
      <c r="F19" s="45"/>
      <c r="G19" s="1243">
        <v>0.60899999999999999</v>
      </c>
      <c r="H19" s="1244"/>
      <c r="I19" s="1241" t="s">
        <v>278</v>
      </c>
      <c r="J19" s="1241"/>
      <c r="K19" s="1242"/>
      <c r="L19" s="23"/>
      <c r="V19" s="196"/>
      <c r="AF19" s="60"/>
      <c r="AJ19" s="744" t="s">
        <v>491</v>
      </c>
      <c r="AK19" s="744"/>
      <c r="AL19" s="198">
        <f>SUM(CADASTRO!BS28:CA31)</f>
        <v>90</v>
      </c>
      <c r="AM19" s="200">
        <f t="shared" si="0"/>
        <v>54.81</v>
      </c>
      <c r="AN19" s="201">
        <f t="shared" si="1"/>
        <v>21.924000000000003</v>
      </c>
      <c r="AO19" s="201">
        <f t="shared" si="2"/>
        <v>19.183499999999999</v>
      </c>
      <c r="AP19" s="201">
        <f t="shared" si="3"/>
        <v>13.702500000000001</v>
      </c>
      <c r="AQ19" s="201"/>
    </row>
    <row r="20" spans="2:43" s="22" customFormat="1" ht="15.75" customHeight="1" x14ac:dyDescent="0.2">
      <c r="D20" s="195"/>
      <c r="E20" s="195"/>
      <c r="F20" s="45"/>
      <c r="G20" s="45"/>
      <c r="H20" s="45"/>
      <c r="I20" s="45"/>
      <c r="J20" s="45"/>
      <c r="K20" s="45"/>
      <c r="L20" s="45"/>
      <c r="N20" s="45"/>
      <c r="O20" s="45"/>
      <c r="P20" s="45"/>
      <c r="Q20" s="45"/>
      <c r="R20" s="45"/>
      <c r="S20" s="45"/>
      <c r="T20" s="45"/>
      <c r="U20" s="45"/>
      <c r="V20" s="45"/>
      <c r="W20" s="45"/>
      <c r="X20" s="45"/>
      <c r="Y20" s="45"/>
      <c r="Z20" s="45"/>
      <c r="AA20" s="45"/>
      <c r="AB20" s="45"/>
      <c r="AC20" s="45"/>
      <c r="AD20" s="45"/>
      <c r="AL20" s="197">
        <f>SUM(AL13:AL19)</f>
        <v>2100</v>
      </c>
      <c r="AM20" s="197">
        <f>SUM(AM13:AM19)</f>
        <v>480.38900000000001</v>
      </c>
      <c r="AN20" s="197">
        <f>SUM(AN13:AN19)</f>
        <v>192.15560000000002</v>
      </c>
      <c r="AO20" s="197">
        <f>SUM(AO13:AO19)</f>
        <v>168.13615000000001</v>
      </c>
      <c r="AP20" s="197">
        <f>SUM(AP13:AP19)</f>
        <v>120.09725</v>
      </c>
      <c r="AQ20" s="199"/>
    </row>
    <row r="21" spans="2:43" ht="33.950000000000003" customHeight="1" x14ac:dyDescent="0.2">
      <c r="B21" s="639" t="s">
        <v>597</v>
      </c>
      <c r="C21" s="639"/>
      <c r="D21" s="639"/>
      <c r="E21" s="639"/>
      <c r="F21" s="639"/>
      <c r="G21" s="639"/>
      <c r="H21" s="639"/>
      <c r="I21" s="639"/>
      <c r="J21" s="639"/>
      <c r="K21" s="639"/>
      <c r="M21" s="640" t="s">
        <v>556</v>
      </c>
      <c r="N21" s="640"/>
      <c r="P21" s="811" t="s">
        <v>598</v>
      </c>
      <c r="Q21" s="811"/>
      <c r="R21" s="811"/>
      <c r="S21" s="811"/>
      <c r="T21" s="811"/>
      <c r="U21" s="811"/>
      <c r="V21" s="811"/>
      <c r="W21" s="811"/>
      <c r="X21" s="811"/>
      <c r="Y21" s="811"/>
      <c r="Z21" s="811"/>
      <c r="AA21" s="811"/>
      <c r="AB21" s="811"/>
      <c r="AC21" s="811"/>
      <c r="AD21" s="811"/>
      <c r="AM21" s="274">
        <f>AM20/AL20</f>
        <v>0.22875666666666666</v>
      </c>
    </row>
    <row r="22" spans="2:43" ht="33.950000000000003" customHeight="1" x14ac:dyDescent="0.2">
      <c r="B22" s="641" t="s">
        <v>329</v>
      </c>
      <c r="C22" s="641"/>
      <c r="D22" s="641"/>
      <c r="E22" s="641"/>
      <c r="F22" s="633" t="s">
        <v>558</v>
      </c>
      <c r="G22" s="642"/>
      <c r="H22" s="642"/>
      <c r="I22" s="634"/>
      <c r="J22" s="643" t="s">
        <v>594</v>
      </c>
      <c r="K22" s="644"/>
      <c r="M22" s="640"/>
      <c r="N22" s="640"/>
      <c r="P22" s="812" t="s">
        <v>49</v>
      </c>
      <c r="Q22" s="812"/>
      <c r="R22" s="812"/>
      <c r="S22" s="812" t="s">
        <v>635</v>
      </c>
      <c r="T22" s="812"/>
      <c r="U22" s="812"/>
      <c r="V22" s="1296" t="s">
        <v>636</v>
      </c>
      <c r="W22" s="1296"/>
      <c r="X22" s="1296"/>
      <c r="Y22" s="812" t="s">
        <v>637</v>
      </c>
      <c r="Z22" s="812"/>
      <c r="AA22" s="812"/>
      <c r="AB22" s="868" t="s">
        <v>4</v>
      </c>
      <c r="AC22" s="868"/>
      <c r="AD22" s="868"/>
    </row>
    <row r="23" spans="2:43" ht="33.950000000000003" customHeight="1" x14ac:dyDescent="0.2">
      <c r="B23" s="645" t="s">
        <v>700</v>
      </c>
      <c r="C23" s="645"/>
      <c r="D23" s="646">
        <f>Z13</f>
        <v>100.20725</v>
      </c>
      <c r="E23" s="647"/>
      <c r="F23" s="1273">
        <v>70</v>
      </c>
      <c r="G23" s="1273"/>
      <c r="H23" s="1273"/>
      <c r="I23" s="1273"/>
      <c r="J23" s="649">
        <f t="shared" ref="J23:J28" si="4">F23/D23</f>
        <v>0.69855225046091973</v>
      </c>
      <c r="K23" s="650"/>
      <c r="M23" s="1299">
        <v>1</v>
      </c>
      <c r="N23" s="1299"/>
      <c r="P23" s="826" t="s">
        <v>703</v>
      </c>
      <c r="Q23" s="826"/>
      <c r="R23" s="826"/>
      <c r="S23" s="826">
        <f>' POP. ALVO'!R77</f>
        <v>100</v>
      </c>
      <c r="T23" s="826"/>
      <c r="U23" s="826"/>
      <c r="V23" s="826">
        <f>' POP. ALVO'!U77</f>
        <v>70.145075000000006</v>
      </c>
      <c r="W23" s="826"/>
      <c r="X23" s="826"/>
      <c r="Y23" s="826">
        <f>' POP. ALVO'!X77</f>
        <v>80.165800000000004</v>
      </c>
      <c r="Z23" s="826"/>
      <c r="AA23" s="826"/>
      <c r="AB23" s="826">
        <f>' POP. ALVO'!AA77</f>
        <v>250.31087500000001</v>
      </c>
      <c r="AC23" s="826"/>
      <c r="AD23" s="826"/>
    </row>
    <row r="24" spans="2:43" ht="33.950000000000003" customHeight="1" x14ac:dyDescent="0.2">
      <c r="B24" s="645" t="s">
        <v>695</v>
      </c>
      <c r="C24" s="645"/>
      <c r="D24" s="806">
        <f>AC13+AF13</f>
        <v>300.62175000000002</v>
      </c>
      <c r="E24" s="807"/>
      <c r="F24" s="1274">
        <v>150</v>
      </c>
      <c r="G24" s="1274"/>
      <c r="H24" s="1274"/>
      <c r="I24" s="1274"/>
      <c r="J24" s="803">
        <f>F24/D24</f>
        <v>0.49896589318637119</v>
      </c>
      <c r="K24" s="804"/>
      <c r="M24" s="1297">
        <v>1</v>
      </c>
      <c r="N24" s="1297"/>
      <c r="P24" s="826" t="s">
        <v>704</v>
      </c>
      <c r="Q24" s="826"/>
      <c r="R24" s="826"/>
      <c r="S24" s="826">
        <f>' POP. ALVO'!R78</f>
        <v>20</v>
      </c>
      <c r="T24" s="826"/>
      <c r="U24" s="826"/>
      <c r="V24" s="826">
        <f>' POP. ALVO'!U78</f>
        <v>27.845999999999997</v>
      </c>
      <c r="W24" s="826"/>
      <c r="X24" s="826"/>
      <c r="Y24" s="826">
        <f>' POP. ALVO'!X78</f>
        <v>22.276800000000001</v>
      </c>
      <c r="Z24" s="826"/>
      <c r="AA24" s="826"/>
      <c r="AB24" s="826">
        <f>' POP. ALVO'!AA78</f>
        <v>70.122799999999998</v>
      </c>
      <c r="AC24" s="826"/>
      <c r="AD24" s="826"/>
    </row>
    <row r="25" spans="2:43" ht="33.950000000000003" customHeight="1" x14ac:dyDescent="0.2">
      <c r="B25" s="622" t="s">
        <v>701</v>
      </c>
      <c r="C25" s="622"/>
      <c r="D25" s="806">
        <f>Z14</f>
        <v>19.89</v>
      </c>
      <c r="E25" s="807"/>
      <c r="F25" s="1274">
        <v>70</v>
      </c>
      <c r="G25" s="1274"/>
      <c r="H25" s="1274"/>
      <c r="I25" s="1274"/>
      <c r="J25" s="803">
        <f t="shared" si="4"/>
        <v>3.5193564605329311</v>
      </c>
      <c r="K25" s="804"/>
      <c r="M25" s="1297">
        <v>1</v>
      </c>
      <c r="N25" s="1297"/>
      <c r="P25" s="233"/>
      <c r="Q25" s="233"/>
      <c r="R25" s="233"/>
      <c r="S25" s="233"/>
      <c r="T25" s="233"/>
      <c r="U25" s="233"/>
      <c r="V25" s="233"/>
      <c r="W25" s="233"/>
      <c r="X25" s="233"/>
      <c r="Y25" s="233"/>
      <c r="Z25" s="233"/>
      <c r="AA25" s="233"/>
    </row>
    <row r="26" spans="2:43" ht="33.950000000000003" customHeight="1" x14ac:dyDescent="0.2">
      <c r="B26" s="622" t="s">
        <v>702</v>
      </c>
      <c r="C26" s="622"/>
      <c r="D26" s="806">
        <f>AC14+AF14</f>
        <v>59.67</v>
      </c>
      <c r="E26" s="807"/>
      <c r="F26" s="1274">
        <v>150</v>
      </c>
      <c r="G26" s="1274"/>
      <c r="H26" s="1274"/>
      <c r="I26" s="1274"/>
      <c r="J26" s="803">
        <f t="shared" si="4"/>
        <v>2.5138260432378079</v>
      </c>
      <c r="K26" s="804"/>
      <c r="M26" s="1297">
        <v>1</v>
      </c>
      <c r="N26" s="1297"/>
      <c r="P26" s="233"/>
      <c r="Q26" s="233"/>
      <c r="R26" s="233"/>
      <c r="S26" s="233"/>
      <c r="T26" s="233"/>
      <c r="U26" s="233"/>
      <c r="V26" s="233"/>
      <c r="W26" s="233"/>
      <c r="X26" s="233"/>
      <c r="Y26" s="233"/>
      <c r="Z26" s="233"/>
      <c r="AA26" s="233"/>
    </row>
    <row r="27" spans="2:43" ht="33.950000000000003" customHeight="1" x14ac:dyDescent="0.2">
      <c r="B27" s="622" t="s">
        <v>712</v>
      </c>
      <c r="C27" s="622"/>
      <c r="D27" s="806">
        <f>DIABÉTICO!D27*DIABÉTICO!S17</f>
        <v>70.617000000000004</v>
      </c>
      <c r="E27" s="807"/>
      <c r="F27" s="1274">
        <v>55</v>
      </c>
      <c r="G27" s="1274"/>
      <c r="H27" s="1274"/>
      <c r="I27" s="1274"/>
      <c r="J27" s="803">
        <f t="shared" si="4"/>
        <v>0.77884928558279165</v>
      </c>
      <c r="K27" s="804"/>
    </row>
    <row r="28" spans="2:43" ht="33.950000000000003" customHeight="1" x14ac:dyDescent="0.2">
      <c r="B28" s="797" t="s">
        <v>4</v>
      </c>
      <c r="C28" s="797"/>
      <c r="D28" s="798">
        <f>D23+D24+D25+D26</f>
        <v>480.38900000000001</v>
      </c>
      <c r="E28" s="799"/>
      <c r="F28" s="800">
        <f>SUM(F23:I26)</f>
        <v>440</v>
      </c>
      <c r="G28" s="801"/>
      <c r="H28" s="801"/>
      <c r="I28" s="802"/>
      <c r="J28" s="803">
        <f t="shared" si="4"/>
        <v>0.91592438627862005</v>
      </c>
      <c r="K28" s="804"/>
    </row>
    <row r="31" spans="2:43" ht="15" customHeight="1" x14ac:dyDescent="0.25">
      <c r="B31" s="245" t="s">
        <v>569</v>
      </c>
    </row>
    <row r="34" spans="3:30" s="3" customFormat="1" ht="15.75" x14ac:dyDescent="0.2">
      <c r="C34" s="4"/>
      <c r="D34" s="386"/>
      <c r="E34" s="386"/>
      <c r="F34" s="367" t="s">
        <v>143</v>
      </c>
      <c r="G34" s="367"/>
      <c r="H34" s="367"/>
      <c r="I34" s="367"/>
      <c r="J34" s="367"/>
      <c r="K34" s="367"/>
      <c r="L34" s="367"/>
      <c r="M34" s="367"/>
      <c r="N34" s="367"/>
      <c r="O34" s="367"/>
      <c r="P34" s="367"/>
      <c r="Q34" s="367"/>
    </row>
    <row r="35" spans="3:30" s="3" customFormat="1" ht="6" customHeight="1" x14ac:dyDescent="0.2">
      <c r="C35" s="4"/>
    </row>
    <row r="36" spans="3:30" s="3" customFormat="1" ht="15.75" customHeight="1" x14ac:dyDescent="0.2">
      <c r="D36" s="11"/>
      <c r="E36" s="11"/>
      <c r="F36" s="817" t="s">
        <v>126</v>
      </c>
      <c r="G36" s="818"/>
      <c r="H36" s="818"/>
      <c r="I36" s="818"/>
      <c r="J36" s="818"/>
      <c r="K36" s="818"/>
      <c r="L36" s="818"/>
      <c r="M36" s="818"/>
      <c r="N36" s="818"/>
      <c r="O36" s="818"/>
      <c r="P36" s="818"/>
      <c r="Q36" s="818"/>
      <c r="R36" s="818"/>
      <c r="S36" s="818"/>
      <c r="T36" s="819"/>
      <c r="U36" s="20"/>
      <c r="V36" s="411" t="s">
        <v>638</v>
      </c>
      <c r="W36" s="411"/>
      <c r="X36" s="411"/>
      <c r="Y36" s="411"/>
      <c r="Z36" s="411"/>
      <c r="AA36" s="411"/>
      <c r="AB36" s="411"/>
      <c r="AC36" s="411"/>
      <c r="AD36" s="411"/>
    </row>
    <row r="37" spans="3:30" s="3" customFormat="1" ht="5.0999999999999996" customHeight="1" x14ac:dyDescent="0.2">
      <c r="C37" s="4"/>
      <c r="V37" s="27"/>
      <c r="W37" s="27"/>
      <c r="X37" s="27"/>
      <c r="Y37" s="27"/>
      <c r="Z37" s="27"/>
      <c r="AA37" s="27"/>
      <c r="AB37" s="27"/>
      <c r="AC37" s="27"/>
      <c r="AD37" s="27"/>
    </row>
    <row r="38" spans="3:30" s="3" customFormat="1" ht="21.95" customHeight="1" x14ac:dyDescent="0.2">
      <c r="D38" s="11"/>
      <c r="E38" s="11"/>
      <c r="F38" s="481" t="s">
        <v>330</v>
      </c>
      <c r="G38" s="482"/>
      <c r="H38" s="482"/>
      <c r="I38" s="483"/>
      <c r="J38" s="21"/>
      <c r="K38" s="481" t="s">
        <v>145</v>
      </c>
      <c r="L38" s="482"/>
      <c r="M38" s="482"/>
      <c r="N38" s="482"/>
      <c r="O38" s="482"/>
      <c r="P38" s="483"/>
      <c r="Q38" s="21"/>
      <c r="R38" s="1226" t="s">
        <v>359</v>
      </c>
      <c r="S38" s="1226"/>
      <c r="T38" s="1226"/>
      <c r="U38" s="22"/>
      <c r="V38" s="407">
        <v>1</v>
      </c>
      <c r="W38" s="408"/>
      <c r="X38" s="412" t="s">
        <v>146</v>
      </c>
      <c r="Y38" s="412"/>
      <c r="Z38" s="412"/>
      <c r="AA38" s="412"/>
      <c r="AB38" s="412"/>
      <c r="AC38" s="412"/>
      <c r="AD38" s="413"/>
    </row>
    <row r="39" spans="3:30" s="3" customFormat="1" ht="21.95" customHeight="1" x14ac:dyDescent="0.2">
      <c r="D39" s="11"/>
      <c r="E39" s="11"/>
      <c r="F39" s="490"/>
      <c r="G39" s="491"/>
      <c r="H39" s="491"/>
      <c r="I39" s="492"/>
      <c r="J39" s="21"/>
      <c r="K39" s="484"/>
      <c r="L39" s="485"/>
      <c r="M39" s="485"/>
      <c r="N39" s="485"/>
      <c r="O39" s="485"/>
      <c r="P39" s="486"/>
      <c r="Q39" s="21"/>
      <c r="R39" s="1226"/>
      <c r="S39" s="1226"/>
      <c r="T39" s="1226"/>
      <c r="U39" s="22"/>
      <c r="V39" s="407">
        <v>1</v>
      </c>
      <c r="W39" s="408"/>
      <c r="X39" s="412" t="s">
        <v>147</v>
      </c>
      <c r="Y39" s="412"/>
      <c r="Z39" s="412"/>
      <c r="AA39" s="412"/>
      <c r="AB39" s="412"/>
      <c r="AC39" s="412"/>
      <c r="AD39" s="413"/>
    </row>
    <row r="40" spans="3:30" s="3" customFormat="1" ht="21.95" customHeight="1" x14ac:dyDescent="0.2">
      <c r="D40" s="11"/>
      <c r="E40" s="11"/>
      <c r="F40" s="490"/>
      <c r="G40" s="491"/>
      <c r="H40" s="491"/>
      <c r="I40" s="492"/>
      <c r="J40" s="21"/>
      <c r="K40" s="481" t="s">
        <v>639</v>
      </c>
      <c r="L40" s="482"/>
      <c r="M40" s="482"/>
      <c r="N40" s="482"/>
      <c r="O40" s="482"/>
      <c r="P40" s="483"/>
      <c r="Q40" s="21"/>
      <c r="R40" s="1226"/>
      <c r="S40" s="1226"/>
      <c r="T40" s="1226"/>
      <c r="U40" s="22"/>
      <c r="V40" s="407">
        <v>1</v>
      </c>
      <c r="W40" s="408"/>
      <c r="X40" s="412" t="s">
        <v>366</v>
      </c>
      <c r="Y40" s="412"/>
      <c r="Z40" s="412"/>
      <c r="AA40" s="412"/>
      <c r="AB40" s="412"/>
      <c r="AC40" s="412"/>
      <c r="AD40" s="413"/>
    </row>
    <row r="41" spans="3:30" s="3" customFormat="1" ht="21.95" customHeight="1" x14ac:dyDescent="0.2">
      <c r="D41" s="11"/>
      <c r="E41" s="11"/>
      <c r="F41" s="490"/>
      <c r="G41" s="491"/>
      <c r="H41" s="491"/>
      <c r="I41" s="492"/>
      <c r="J41" s="21"/>
      <c r="K41" s="484"/>
      <c r="L41" s="485"/>
      <c r="M41" s="485"/>
      <c r="N41" s="485"/>
      <c r="O41" s="485"/>
      <c r="P41" s="486"/>
      <c r="Q41" s="21"/>
      <c r="R41" s="1226"/>
      <c r="S41" s="1226"/>
      <c r="T41" s="1226"/>
      <c r="U41" s="22"/>
      <c r="V41" s="407">
        <v>1</v>
      </c>
      <c r="W41" s="408"/>
      <c r="X41" s="412" t="s">
        <v>367</v>
      </c>
      <c r="Y41" s="412"/>
      <c r="Z41" s="412"/>
      <c r="AA41" s="412"/>
      <c r="AB41" s="412"/>
      <c r="AC41" s="412"/>
      <c r="AD41" s="413"/>
    </row>
    <row r="42" spans="3:30" s="3" customFormat="1" ht="21.95" customHeight="1" x14ac:dyDescent="0.2">
      <c r="D42" s="11"/>
      <c r="E42" s="11"/>
      <c r="F42" s="490"/>
      <c r="G42" s="491"/>
      <c r="H42" s="491"/>
      <c r="I42" s="492"/>
      <c r="K42" s="481" t="s">
        <v>331</v>
      </c>
      <c r="L42" s="482"/>
      <c r="M42" s="482"/>
      <c r="N42" s="482"/>
      <c r="O42" s="482"/>
      <c r="P42" s="483"/>
      <c r="R42" s="1226"/>
      <c r="S42" s="1226"/>
      <c r="T42" s="1226"/>
      <c r="V42" s="407">
        <v>2</v>
      </c>
      <c r="W42" s="408"/>
      <c r="X42" s="412" t="s">
        <v>372</v>
      </c>
      <c r="Y42" s="412"/>
      <c r="Z42" s="412"/>
      <c r="AA42" s="412"/>
      <c r="AB42" s="412"/>
      <c r="AC42" s="412"/>
      <c r="AD42" s="413"/>
    </row>
    <row r="43" spans="3:30" s="3" customFormat="1" ht="21.95" customHeight="1" x14ac:dyDescent="0.2">
      <c r="D43" s="11"/>
      <c r="E43" s="11"/>
      <c r="F43" s="490"/>
      <c r="G43" s="491"/>
      <c r="H43" s="491"/>
      <c r="I43" s="492"/>
      <c r="K43" s="484"/>
      <c r="L43" s="485"/>
      <c r="M43" s="485"/>
      <c r="N43" s="485"/>
      <c r="O43" s="485"/>
      <c r="P43" s="486"/>
      <c r="R43" s="1226"/>
      <c r="S43" s="1226"/>
      <c r="T43" s="1226"/>
      <c r="V43" s="407">
        <v>2</v>
      </c>
      <c r="W43" s="408"/>
      <c r="X43" s="412" t="s">
        <v>373</v>
      </c>
      <c r="Y43" s="412"/>
      <c r="Z43" s="412"/>
      <c r="AA43" s="412"/>
      <c r="AB43" s="412"/>
      <c r="AC43" s="412"/>
      <c r="AD43" s="413"/>
    </row>
    <row r="44" spans="3:30" s="3" customFormat="1" ht="55.5" customHeight="1" x14ac:dyDescent="0.2">
      <c r="C44" s="4"/>
      <c r="F44" s="490"/>
      <c r="G44" s="491"/>
      <c r="H44" s="491"/>
      <c r="I44" s="492"/>
      <c r="K44" s="476" t="s">
        <v>640</v>
      </c>
      <c r="L44" s="459"/>
      <c r="M44" s="459"/>
      <c r="N44" s="459"/>
      <c r="O44" s="459"/>
      <c r="P44" s="477"/>
      <c r="R44" s="1226"/>
      <c r="S44" s="1226"/>
      <c r="T44" s="1226"/>
      <c r="V44" s="407">
        <v>3</v>
      </c>
      <c r="W44" s="408"/>
      <c r="X44" s="412" t="s">
        <v>151</v>
      </c>
      <c r="Y44" s="412"/>
      <c r="Z44" s="412"/>
      <c r="AA44" s="412"/>
      <c r="AB44" s="412"/>
      <c r="AC44" s="412"/>
      <c r="AD44" s="413"/>
    </row>
    <row r="45" spans="3:30" s="3" customFormat="1" ht="50.1" customHeight="1" x14ac:dyDescent="0.2">
      <c r="C45" s="4"/>
      <c r="F45" s="490"/>
      <c r="G45" s="491"/>
      <c r="H45" s="491"/>
      <c r="I45" s="492"/>
      <c r="K45" s="476" t="s">
        <v>454</v>
      </c>
      <c r="L45" s="459"/>
      <c r="M45" s="459"/>
      <c r="N45" s="459"/>
      <c r="O45" s="459"/>
      <c r="P45" s="477"/>
      <c r="R45" s="1226"/>
      <c r="S45" s="1226"/>
      <c r="T45" s="1226"/>
      <c r="V45" s="407">
        <v>12</v>
      </c>
      <c r="W45" s="408"/>
      <c r="X45" s="412" t="s">
        <v>442</v>
      </c>
      <c r="Y45" s="412"/>
      <c r="Z45" s="412"/>
      <c r="AA45" s="412"/>
      <c r="AB45" s="412"/>
      <c r="AC45" s="412"/>
      <c r="AD45" s="413"/>
    </row>
    <row r="46" spans="3:30" s="3" customFormat="1" ht="39.950000000000003" customHeight="1" x14ac:dyDescent="0.2">
      <c r="C46" s="4"/>
      <c r="F46" s="490"/>
      <c r="G46" s="491"/>
      <c r="H46" s="491"/>
      <c r="I46" s="492"/>
      <c r="K46" s="476" t="s">
        <v>313</v>
      </c>
      <c r="L46" s="459"/>
      <c r="M46" s="459"/>
      <c r="N46" s="459"/>
      <c r="O46" s="459"/>
      <c r="P46" s="477"/>
      <c r="R46" s="1226"/>
      <c r="S46" s="1226"/>
      <c r="T46" s="1226"/>
      <c r="V46" s="407">
        <v>1</v>
      </c>
      <c r="W46" s="408"/>
      <c r="X46" s="412" t="s">
        <v>9</v>
      </c>
      <c r="Y46" s="412"/>
      <c r="Z46" s="412"/>
      <c r="AA46" s="412"/>
      <c r="AB46" s="412"/>
      <c r="AC46" s="412"/>
      <c r="AD46" s="413"/>
    </row>
    <row r="47" spans="3:30" s="3" customFormat="1" ht="45" customHeight="1" x14ac:dyDescent="0.2">
      <c r="C47" s="4"/>
      <c r="F47" s="509" t="s">
        <v>318</v>
      </c>
      <c r="G47" s="509"/>
      <c r="H47" s="509"/>
      <c r="I47" s="509"/>
      <c r="K47" s="476" t="s">
        <v>332</v>
      </c>
      <c r="L47" s="459"/>
      <c r="M47" s="459"/>
      <c r="N47" s="459"/>
      <c r="O47" s="459"/>
      <c r="P47" s="477"/>
      <c r="R47" s="1226"/>
      <c r="S47" s="1226"/>
      <c r="T47" s="1226"/>
      <c r="V47" s="424">
        <v>1</v>
      </c>
      <c r="W47" s="425"/>
      <c r="X47" s="412" t="s">
        <v>154</v>
      </c>
      <c r="Y47" s="412"/>
      <c r="Z47" s="412"/>
      <c r="AA47" s="412"/>
      <c r="AB47" s="412"/>
      <c r="AC47" s="412"/>
      <c r="AD47" s="413"/>
    </row>
    <row r="48" spans="3:30" s="3" customFormat="1" ht="30" customHeight="1" x14ac:dyDescent="0.2">
      <c r="C48" s="4"/>
      <c r="F48" s="509"/>
      <c r="G48" s="509"/>
      <c r="H48" s="509"/>
      <c r="I48" s="509"/>
      <c r="K48" s="476" t="s">
        <v>334</v>
      </c>
      <c r="L48" s="459"/>
      <c r="M48" s="459"/>
      <c r="N48" s="459"/>
      <c r="O48" s="459"/>
      <c r="P48" s="477"/>
      <c r="R48" s="1226"/>
      <c r="S48" s="1226"/>
      <c r="T48" s="1226"/>
      <c r="V48" s="424">
        <v>1</v>
      </c>
      <c r="W48" s="425"/>
      <c r="X48" s="412" t="s">
        <v>158</v>
      </c>
      <c r="Y48" s="412"/>
      <c r="Z48" s="412"/>
      <c r="AA48" s="412"/>
      <c r="AB48" s="412"/>
      <c r="AC48" s="412"/>
      <c r="AD48" s="413"/>
    </row>
    <row r="49" spans="3:30" s="3" customFormat="1" ht="50.25" customHeight="1" x14ac:dyDescent="0.2">
      <c r="C49" s="4"/>
      <c r="F49" s="509"/>
      <c r="G49" s="509"/>
      <c r="H49" s="509"/>
      <c r="I49" s="509"/>
      <c r="K49" s="476" t="s">
        <v>336</v>
      </c>
      <c r="L49" s="459"/>
      <c r="M49" s="459"/>
      <c r="N49" s="459"/>
      <c r="O49" s="459"/>
      <c r="P49" s="477"/>
      <c r="R49" s="1226"/>
      <c r="S49" s="1226"/>
      <c r="T49" s="1226"/>
      <c r="V49" s="424">
        <v>1</v>
      </c>
      <c r="W49" s="425"/>
      <c r="X49" s="412" t="s">
        <v>335</v>
      </c>
      <c r="Y49" s="412"/>
      <c r="Z49" s="412"/>
      <c r="AA49" s="412"/>
      <c r="AB49" s="412"/>
      <c r="AC49" s="412"/>
      <c r="AD49" s="413"/>
    </row>
    <row r="50" spans="3:30" s="3" customFormat="1" ht="44.25" customHeight="1" x14ac:dyDescent="0.2">
      <c r="C50" s="4"/>
      <c r="F50" s="509"/>
      <c r="G50" s="509"/>
      <c r="H50" s="509"/>
      <c r="I50" s="509"/>
      <c r="K50" s="476" t="s">
        <v>333</v>
      </c>
      <c r="L50" s="459"/>
      <c r="M50" s="459"/>
      <c r="N50" s="459"/>
      <c r="O50" s="459"/>
      <c r="P50" s="477"/>
      <c r="R50" s="1226"/>
      <c r="S50" s="1226"/>
      <c r="T50" s="1226"/>
      <c r="V50" s="424">
        <v>1</v>
      </c>
      <c r="W50" s="425"/>
      <c r="X50" s="412" t="s">
        <v>156</v>
      </c>
      <c r="Y50" s="412"/>
      <c r="Z50" s="412"/>
      <c r="AA50" s="412"/>
      <c r="AB50" s="412"/>
      <c r="AC50" s="412"/>
      <c r="AD50" s="413"/>
    </row>
    <row r="51" spans="3:30" s="3" customFormat="1" ht="15.75" customHeight="1" x14ac:dyDescent="0.2">
      <c r="C51" s="4"/>
      <c r="V51" s="426" t="s">
        <v>303</v>
      </c>
      <c r="W51" s="426"/>
      <c r="X51" s="426"/>
      <c r="Y51" s="426"/>
      <c r="Z51" s="426"/>
      <c r="AA51" s="426"/>
      <c r="AB51" s="426"/>
      <c r="AC51" s="426"/>
      <c r="AD51" s="426"/>
    </row>
    <row r="52" spans="3:30" s="3" customFormat="1" ht="15.75" x14ac:dyDescent="0.2">
      <c r="C52" s="4"/>
      <c r="V52" s="426"/>
      <c r="W52" s="426"/>
      <c r="X52" s="426"/>
      <c r="Y52" s="426"/>
      <c r="Z52" s="426"/>
      <c r="AA52" s="426"/>
      <c r="AB52" s="426"/>
      <c r="AC52" s="426"/>
      <c r="AD52" s="426"/>
    </row>
    <row r="53" spans="3:30" s="3" customFormat="1" ht="15.75" x14ac:dyDescent="0.2">
      <c r="C53" s="4"/>
      <c r="V53" s="426"/>
      <c r="W53" s="426"/>
      <c r="X53" s="426"/>
      <c r="Y53" s="426"/>
      <c r="Z53" s="426"/>
      <c r="AA53" s="426"/>
      <c r="AB53" s="426"/>
      <c r="AC53" s="426"/>
      <c r="AD53" s="426"/>
    </row>
    <row r="54" spans="3:30" s="3" customFormat="1" ht="15.75" x14ac:dyDescent="0.2">
      <c r="C54" s="4"/>
      <c r="V54" s="31"/>
      <c r="W54" s="31"/>
      <c r="X54" s="31"/>
      <c r="Y54" s="31"/>
      <c r="Z54" s="31"/>
      <c r="AA54" s="31"/>
      <c r="AB54" s="31"/>
      <c r="AC54" s="31"/>
      <c r="AD54" s="31"/>
    </row>
    <row r="55" spans="3:30" s="3" customFormat="1" ht="15.75" x14ac:dyDescent="0.2">
      <c r="C55" s="4"/>
      <c r="D55" s="386"/>
      <c r="E55" s="386"/>
      <c r="F55" s="3" t="s">
        <v>166</v>
      </c>
    </row>
    <row r="56" spans="3:30" s="3" customFormat="1" ht="5.0999999999999996" customHeight="1" x14ac:dyDescent="0.2">
      <c r="C56" s="4"/>
    </row>
    <row r="57" spans="3:30" s="3" customFormat="1" ht="10.5" customHeight="1" x14ac:dyDescent="0.2">
      <c r="D57" s="11"/>
      <c r="E57" s="11"/>
    </row>
    <row r="58" spans="3:30" s="3" customFormat="1" ht="84.75" customHeight="1" x14ac:dyDescent="0.2">
      <c r="C58" s="4"/>
      <c r="F58" s="509" t="s">
        <v>167</v>
      </c>
      <c r="G58" s="509"/>
      <c r="H58" s="509"/>
      <c r="I58" s="509"/>
      <c r="K58" s="476" t="s">
        <v>641</v>
      </c>
      <c r="L58" s="459"/>
      <c r="M58" s="459"/>
      <c r="N58" s="459"/>
      <c r="O58" s="477"/>
      <c r="Q58" s="1295" t="s">
        <v>359</v>
      </c>
      <c r="R58" s="1295"/>
      <c r="S58" s="1295"/>
      <c r="T58" s="1295"/>
      <c r="V58" s="887">
        <v>1</v>
      </c>
      <c r="W58" s="888"/>
      <c r="X58" s="409" t="s">
        <v>337</v>
      </c>
      <c r="Y58" s="409"/>
      <c r="Z58" s="409"/>
      <c r="AA58" s="409"/>
      <c r="AB58" s="409"/>
      <c r="AC58" s="409"/>
      <c r="AD58" s="410"/>
    </row>
    <row r="59" spans="3:30" s="3" customFormat="1" ht="20.100000000000001" customHeight="1" x14ac:dyDescent="0.2">
      <c r="C59" s="4"/>
      <c r="V59" s="426" t="s">
        <v>133</v>
      </c>
      <c r="W59" s="426"/>
      <c r="X59" s="426"/>
      <c r="Y59" s="426"/>
      <c r="Z59" s="426"/>
      <c r="AA59" s="426"/>
      <c r="AB59" s="426"/>
      <c r="AC59" s="426"/>
      <c r="AD59" s="426"/>
    </row>
    <row r="60" spans="3:30" s="3" customFormat="1" ht="20.100000000000001" customHeight="1" x14ac:dyDescent="0.2">
      <c r="C60" s="4"/>
      <c r="V60" s="426"/>
      <c r="W60" s="426"/>
      <c r="X60" s="426"/>
      <c r="Y60" s="426"/>
      <c r="Z60" s="426"/>
      <c r="AA60" s="426"/>
      <c r="AB60" s="426"/>
      <c r="AC60" s="426"/>
      <c r="AD60" s="426"/>
    </row>
    <row r="61" spans="3:30" s="3" customFormat="1" ht="15.75" x14ac:dyDescent="0.2">
      <c r="C61" s="4"/>
      <c r="D61" s="386"/>
      <c r="E61" s="386"/>
      <c r="F61" s="3" t="s">
        <v>169</v>
      </c>
      <c r="M61" s="32"/>
      <c r="N61" s="33"/>
      <c r="O61" s="34"/>
      <c r="P61" s="34"/>
      <c r="Q61" s="34"/>
      <c r="R61" s="34"/>
      <c r="S61" s="34"/>
    </row>
    <row r="62" spans="3:30" s="3" customFormat="1" ht="5.0999999999999996" customHeight="1" x14ac:dyDescent="0.2">
      <c r="C62" s="4"/>
    </row>
    <row r="63" spans="3:30" s="3" customFormat="1" ht="12.75" customHeight="1" x14ac:dyDescent="0.2">
      <c r="C63" s="4"/>
      <c r="W63" s="7"/>
      <c r="AB63" s="7"/>
      <c r="AC63" s="7"/>
      <c r="AD63" s="7"/>
    </row>
    <row r="64" spans="3:30" s="3" customFormat="1" ht="22.5" customHeight="1" x14ac:dyDescent="0.2">
      <c r="D64" s="18"/>
      <c r="E64" s="18"/>
      <c r="F64" s="1281" t="s">
        <v>170</v>
      </c>
      <c r="G64" s="1282"/>
      <c r="H64" s="1283"/>
      <c r="J64" s="1212" t="s">
        <v>80</v>
      </c>
      <c r="K64" s="1213"/>
      <c r="L64" s="1213"/>
      <c r="M64" s="1213"/>
      <c r="N64" s="1213"/>
      <c r="O64" s="1214"/>
      <c r="P64" s="39">
        <v>1</v>
      </c>
      <c r="Q64" s="1208" t="s">
        <v>340</v>
      </c>
      <c r="R64" s="1208"/>
      <c r="S64" s="1209"/>
      <c r="U64" s="1289" t="s">
        <v>359</v>
      </c>
      <c r="V64" s="1290"/>
      <c r="W64" s="7"/>
      <c r="X64" s="273">
        <v>1</v>
      </c>
      <c r="Y64" s="1210" t="s">
        <v>340</v>
      </c>
      <c r="Z64" s="1211"/>
      <c r="AA64" s="1211"/>
      <c r="AB64" s="1211"/>
      <c r="AC64" s="7"/>
      <c r="AD64" s="7"/>
    </row>
    <row r="65" spans="4:30" s="3" customFormat="1" ht="23.1" customHeight="1" x14ac:dyDescent="0.2">
      <c r="D65" s="18"/>
      <c r="E65" s="18"/>
      <c r="F65" s="1284"/>
      <c r="G65" s="1170"/>
      <c r="H65" s="1285"/>
      <c r="J65" s="1215"/>
      <c r="K65" s="1216"/>
      <c r="L65" s="1216"/>
      <c r="M65" s="1216"/>
      <c r="N65" s="1216"/>
      <c r="O65" s="1217"/>
      <c r="P65" s="39">
        <v>2</v>
      </c>
      <c r="Q65" s="1208" t="s">
        <v>341</v>
      </c>
      <c r="R65" s="1208"/>
      <c r="S65" s="1209"/>
      <c r="U65" s="1291"/>
      <c r="V65" s="1292"/>
      <c r="W65" s="7"/>
      <c r="X65" s="273">
        <v>2</v>
      </c>
      <c r="Y65" s="1210" t="s">
        <v>508</v>
      </c>
      <c r="Z65" s="1211"/>
      <c r="AA65" s="1211"/>
      <c r="AB65" s="1211"/>
      <c r="AC65" s="7"/>
      <c r="AD65" s="7"/>
    </row>
    <row r="66" spans="4:30" s="3" customFormat="1" ht="23.1" customHeight="1" x14ac:dyDescent="0.2">
      <c r="D66" s="18"/>
      <c r="E66" s="18"/>
      <c r="F66" s="1284"/>
      <c r="G66" s="1170"/>
      <c r="H66" s="1285"/>
      <c r="J66" s="1212" t="s">
        <v>68</v>
      </c>
      <c r="K66" s="1213"/>
      <c r="L66" s="1213"/>
      <c r="M66" s="1213"/>
      <c r="N66" s="1213"/>
      <c r="O66" s="1214"/>
      <c r="P66" s="39">
        <v>1</v>
      </c>
      <c r="Q66" s="1208" t="s">
        <v>340</v>
      </c>
      <c r="R66" s="1208"/>
      <c r="S66" s="1209"/>
      <c r="U66" s="1291"/>
      <c r="V66" s="1292"/>
      <c r="W66" s="7"/>
      <c r="X66" s="273">
        <v>1</v>
      </c>
      <c r="Y66" s="1210" t="s">
        <v>340</v>
      </c>
      <c r="Z66" s="1211"/>
      <c r="AA66" s="1211"/>
      <c r="AB66" s="1211"/>
      <c r="AC66" s="7"/>
      <c r="AD66" s="7"/>
    </row>
    <row r="67" spans="4:30" s="3" customFormat="1" ht="23.1" customHeight="1" x14ac:dyDescent="0.2">
      <c r="D67" s="18"/>
      <c r="E67" s="18"/>
      <c r="F67" s="1284"/>
      <c r="G67" s="1170"/>
      <c r="H67" s="1285"/>
      <c r="J67" s="1215"/>
      <c r="K67" s="1216"/>
      <c r="L67" s="1216"/>
      <c r="M67" s="1216"/>
      <c r="N67" s="1216"/>
      <c r="O67" s="1217"/>
      <c r="P67" s="39">
        <v>2</v>
      </c>
      <c r="Q67" s="1208" t="s">
        <v>341</v>
      </c>
      <c r="R67" s="1208"/>
      <c r="S67" s="1209"/>
      <c r="U67" s="1291"/>
      <c r="V67" s="1292"/>
      <c r="W67" s="7"/>
      <c r="X67" s="273">
        <v>2</v>
      </c>
      <c r="Y67" s="1210" t="s">
        <v>508</v>
      </c>
      <c r="Z67" s="1211"/>
      <c r="AA67" s="1211"/>
      <c r="AB67" s="1211"/>
      <c r="AC67" s="7"/>
      <c r="AD67" s="7"/>
    </row>
    <row r="68" spans="4:30" s="3" customFormat="1" ht="23.1" customHeight="1" x14ac:dyDescent="0.2">
      <c r="D68" s="18"/>
      <c r="E68" s="18"/>
      <c r="F68" s="1284"/>
      <c r="G68" s="1170"/>
      <c r="H68" s="1285"/>
      <c r="I68" s="7"/>
      <c r="J68" s="1212" t="s">
        <v>69</v>
      </c>
      <c r="K68" s="1213"/>
      <c r="L68" s="1213"/>
      <c r="M68" s="1213"/>
      <c r="N68" s="1213"/>
      <c r="O68" s="1214"/>
      <c r="P68" s="39">
        <v>1</v>
      </c>
      <c r="Q68" s="1208" t="s">
        <v>340</v>
      </c>
      <c r="R68" s="1208"/>
      <c r="S68" s="1209"/>
      <c r="U68" s="1291"/>
      <c r="V68" s="1292"/>
      <c r="W68" s="7"/>
      <c r="X68" s="273">
        <v>1</v>
      </c>
      <c r="Y68" s="1210" t="s">
        <v>340</v>
      </c>
      <c r="Z68" s="1211"/>
      <c r="AA68" s="1211"/>
      <c r="AB68" s="1211"/>
      <c r="AC68" s="7"/>
      <c r="AD68" s="7"/>
    </row>
    <row r="69" spans="4:30" s="3" customFormat="1" ht="23.1" customHeight="1" x14ac:dyDescent="0.2">
      <c r="D69" s="18"/>
      <c r="E69" s="18"/>
      <c r="F69" s="1284"/>
      <c r="G69" s="1170"/>
      <c r="H69" s="1285"/>
      <c r="I69" s="7"/>
      <c r="J69" s="1215"/>
      <c r="K69" s="1216"/>
      <c r="L69" s="1216"/>
      <c r="M69" s="1216"/>
      <c r="N69" s="1216"/>
      <c r="O69" s="1217"/>
      <c r="P69" s="39">
        <v>2</v>
      </c>
      <c r="Q69" s="1208" t="s">
        <v>341</v>
      </c>
      <c r="R69" s="1208"/>
      <c r="S69" s="1209"/>
      <c r="U69" s="1291"/>
      <c r="V69" s="1292"/>
      <c r="W69" s="7"/>
      <c r="X69" s="273">
        <v>2</v>
      </c>
      <c r="Y69" s="1210" t="s">
        <v>508</v>
      </c>
      <c r="Z69" s="1211"/>
      <c r="AA69" s="1211"/>
      <c r="AB69" s="1211"/>
      <c r="AC69" s="7"/>
      <c r="AD69" s="7"/>
    </row>
    <row r="70" spans="4:30" s="3" customFormat="1" ht="23.1" customHeight="1" x14ac:dyDescent="0.2">
      <c r="D70" s="18"/>
      <c r="E70" s="18"/>
      <c r="F70" s="1284"/>
      <c r="G70" s="1170"/>
      <c r="H70" s="1285"/>
      <c r="I70" s="7"/>
      <c r="J70" s="1221" t="s">
        <v>104</v>
      </c>
      <c r="K70" s="1222"/>
      <c r="L70" s="1222"/>
      <c r="M70" s="1222"/>
      <c r="N70" s="1222"/>
      <c r="O70" s="1223"/>
      <c r="P70" s="39">
        <v>1</v>
      </c>
      <c r="Q70" s="1208" t="s">
        <v>328</v>
      </c>
      <c r="R70" s="1208"/>
      <c r="S70" s="1209"/>
      <c r="U70" s="1291"/>
      <c r="V70" s="1292"/>
      <c r="W70" s="36"/>
      <c r="X70" s="273">
        <v>1</v>
      </c>
      <c r="Y70" s="1210" t="s">
        <v>328</v>
      </c>
      <c r="Z70" s="1211"/>
      <c r="AA70" s="1211"/>
      <c r="AB70" s="1211"/>
      <c r="AC70" s="7"/>
      <c r="AD70" s="7"/>
    </row>
    <row r="71" spans="4:30" s="3" customFormat="1" ht="23.1" customHeight="1" x14ac:dyDescent="0.2">
      <c r="D71" s="18"/>
      <c r="E71" s="18"/>
      <c r="F71" s="1284"/>
      <c r="G71" s="1170"/>
      <c r="H71" s="1285"/>
      <c r="I71" s="7"/>
      <c r="J71" s="1212" t="s">
        <v>338</v>
      </c>
      <c r="K71" s="1213"/>
      <c r="L71" s="1213"/>
      <c r="M71" s="1213"/>
      <c r="N71" s="1213"/>
      <c r="O71" s="1214"/>
      <c r="P71" s="40">
        <v>1</v>
      </c>
      <c r="Q71" s="1208" t="s">
        <v>340</v>
      </c>
      <c r="R71" s="1208"/>
      <c r="S71" s="1209"/>
      <c r="U71" s="1291"/>
      <c r="V71" s="1292"/>
      <c r="W71" s="36"/>
      <c r="X71" s="273">
        <v>1</v>
      </c>
      <c r="Y71" s="1210" t="s">
        <v>340</v>
      </c>
      <c r="Z71" s="1211"/>
      <c r="AA71" s="1211"/>
      <c r="AB71" s="1211"/>
      <c r="AC71" s="7"/>
      <c r="AD71" s="7"/>
    </row>
    <row r="72" spans="4:30" s="3" customFormat="1" ht="23.1" customHeight="1" x14ac:dyDescent="0.2">
      <c r="D72" s="18"/>
      <c r="E72" s="18"/>
      <c r="F72" s="1284"/>
      <c r="G72" s="1170"/>
      <c r="H72" s="1285"/>
      <c r="I72" s="7"/>
      <c r="J72" s="1215"/>
      <c r="K72" s="1216"/>
      <c r="L72" s="1216"/>
      <c r="M72" s="1216"/>
      <c r="N72" s="1216"/>
      <c r="O72" s="1217"/>
      <c r="P72" s="39">
        <v>2</v>
      </c>
      <c r="Q72" s="1208" t="s">
        <v>341</v>
      </c>
      <c r="R72" s="1208"/>
      <c r="S72" s="1209"/>
      <c r="U72" s="1291"/>
      <c r="V72" s="1292"/>
      <c r="W72" s="36"/>
      <c r="X72" s="273">
        <v>2</v>
      </c>
      <c r="Y72" s="1210" t="s">
        <v>508</v>
      </c>
      <c r="Z72" s="1211"/>
      <c r="AA72" s="1211"/>
      <c r="AB72" s="1211"/>
      <c r="AC72" s="7"/>
      <c r="AD72" s="7"/>
    </row>
    <row r="73" spans="4:30" s="3" customFormat="1" ht="23.1" customHeight="1" x14ac:dyDescent="0.2">
      <c r="D73" s="18"/>
      <c r="E73" s="18"/>
      <c r="F73" s="1284"/>
      <c r="G73" s="1170"/>
      <c r="H73" s="1285"/>
      <c r="I73" s="7"/>
      <c r="J73" s="1212" t="s">
        <v>70</v>
      </c>
      <c r="K73" s="1213"/>
      <c r="L73" s="1213"/>
      <c r="M73" s="1213"/>
      <c r="N73" s="1213"/>
      <c r="O73" s="1214"/>
      <c r="P73" s="40">
        <v>1</v>
      </c>
      <c r="Q73" s="1208" t="s">
        <v>340</v>
      </c>
      <c r="R73" s="1208"/>
      <c r="S73" s="1209"/>
      <c r="U73" s="1291"/>
      <c r="V73" s="1292"/>
      <c r="W73" s="36"/>
      <c r="X73" s="273">
        <v>1</v>
      </c>
      <c r="Y73" s="1210" t="s">
        <v>340</v>
      </c>
      <c r="Z73" s="1211"/>
      <c r="AA73" s="1211"/>
      <c r="AB73" s="1211"/>
      <c r="AC73" s="7"/>
      <c r="AD73" s="7"/>
    </row>
    <row r="74" spans="4:30" s="3" customFormat="1" ht="23.1" customHeight="1" x14ac:dyDescent="0.2">
      <c r="D74" s="18"/>
      <c r="E74" s="18"/>
      <c r="F74" s="1284"/>
      <c r="G74" s="1170"/>
      <c r="H74" s="1285"/>
      <c r="I74" s="7"/>
      <c r="J74" s="1215"/>
      <c r="K74" s="1216"/>
      <c r="L74" s="1216"/>
      <c r="M74" s="1216"/>
      <c r="N74" s="1216"/>
      <c r="O74" s="1217"/>
      <c r="P74" s="40">
        <v>2</v>
      </c>
      <c r="Q74" s="1208" t="s">
        <v>341</v>
      </c>
      <c r="R74" s="1208"/>
      <c r="S74" s="1209"/>
      <c r="U74" s="1291"/>
      <c r="V74" s="1292"/>
      <c r="W74" s="36"/>
      <c r="X74" s="273">
        <v>2</v>
      </c>
      <c r="Y74" s="1210" t="s">
        <v>508</v>
      </c>
      <c r="Z74" s="1211"/>
      <c r="AA74" s="1211"/>
      <c r="AB74" s="1211"/>
      <c r="AC74" s="7"/>
      <c r="AD74" s="7"/>
    </row>
    <row r="75" spans="4:30" s="3" customFormat="1" ht="23.1" customHeight="1" x14ac:dyDescent="0.2">
      <c r="D75" s="18"/>
      <c r="E75" s="18"/>
      <c r="F75" s="1284"/>
      <c r="G75" s="1170"/>
      <c r="H75" s="1285"/>
      <c r="I75" s="7"/>
      <c r="J75" s="1212" t="s">
        <v>71</v>
      </c>
      <c r="K75" s="1213"/>
      <c r="L75" s="1213"/>
      <c r="M75" s="1213"/>
      <c r="N75" s="1213"/>
      <c r="O75" s="1214"/>
      <c r="P75" s="39">
        <v>1</v>
      </c>
      <c r="Q75" s="1208" t="s">
        <v>340</v>
      </c>
      <c r="R75" s="1208"/>
      <c r="S75" s="1209"/>
      <c r="U75" s="1291"/>
      <c r="V75" s="1292"/>
      <c r="W75" s="36"/>
      <c r="X75" s="273">
        <v>1</v>
      </c>
      <c r="Y75" s="1210" t="s">
        <v>340</v>
      </c>
      <c r="Z75" s="1211"/>
      <c r="AA75" s="1211"/>
      <c r="AB75" s="1211"/>
      <c r="AC75" s="7"/>
      <c r="AD75" s="7"/>
    </row>
    <row r="76" spans="4:30" s="3" customFormat="1" ht="23.1" customHeight="1" x14ac:dyDescent="0.2">
      <c r="D76" s="18"/>
      <c r="E76" s="18"/>
      <c r="F76" s="1284"/>
      <c r="G76" s="1170"/>
      <c r="H76" s="1285"/>
      <c r="I76" s="7"/>
      <c r="J76" s="1215"/>
      <c r="K76" s="1216"/>
      <c r="L76" s="1216"/>
      <c r="M76" s="1216"/>
      <c r="N76" s="1216"/>
      <c r="O76" s="1217"/>
      <c r="P76" s="39">
        <v>2</v>
      </c>
      <c r="Q76" s="1208" t="s">
        <v>341</v>
      </c>
      <c r="R76" s="1208"/>
      <c r="S76" s="1209"/>
      <c r="U76" s="1291"/>
      <c r="V76" s="1292"/>
      <c r="W76" s="36"/>
      <c r="X76" s="273">
        <v>2</v>
      </c>
      <c r="Y76" s="1210" t="s">
        <v>508</v>
      </c>
      <c r="Z76" s="1211"/>
      <c r="AA76" s="1211"/>
      <c r="AB76" s="1211"/>
      <c r="AC76" s="7"/>
      <c r="AD76" s="7"/>
    </row>
    <row r="77" spans="4:30" s="3" customFormat="1" ht="23.1" customHeight="1" x14ac:dyDescent="0.2">
      <c r="D77" s="18"/>
      <c r="E77" s="18"/>
      <c r="F77" s="1284"/>
      <c r="G77" s="1170"/>
      <c r="H77" s="1285"/>
      <c r="I77" s="7"/>
      <c r="J77" s="1212" t="s">
        <v>72</v>
      </c>
      <c r="K77" s="1213"/>
      <c r="L77" s="1213"/>
      <c r="M77" s="1213"/>
      <c r="N77" s="1213"/>
      <c r="O77" s="1214"/>
      <c r="P77" s="39">
        <v>1</v>
      </c>
      <c r="Q77" s="1208" t="s">
        <v>340</v>
      </c>
      <c r="R77" s="1208"/>
      <c r="S77" s="1209"/>
      <c r="U77" s="1291"/>
      <c r="V77" s="1292"/>
      <c r="W77" s="36"/>
      <c r="X77" s="273">
        <v>1</v>
      </c>
      <c r="Y77" s="1210" t="s">
        <v>340</v>
      </c>
      <c r="Z77" s="1211"/>
      <c r="AA77" s="1211"/>
      <c r="AB77" s="1211"/>
      <c r="AC77" s="7"/>
      <c r="AD77" s="7"/>
    </row>
    <row r="78" spans="4:30" s="3" customFormat="1" ht="23.1" customHeight="1" x14ac:dyDescent="0.2">
      <c r="D78" s="18"/>
      <c r="E78" s="18"/>
      <c r="F78" s="1284"/>
      <c r="G78" s="1170"/>
      <c r="H78" s="1285"/>
      <c r="I78" s="7"/>
      <c r="J78" s="1215"/>
      <c r="K78" s="1216"/>
      <c r="L78" s="1216"/>
      <c r="M78" s="1216"/>
      <c r="N78" s="1216"/>
      <c r="O78" s="1217"/>
      <c r="P78" s="39">
        <v>2</v>
      </c>
      <c r="Q78" s="1208" t="s">
        <v>341</v>
      </c>
      <c r="R78" s="1208"/>
      <c r="S78" s="1209"/>
      <c r="U78" s="1291"/>
      <c r="V78" s="1292"/>
      <c r="W78" s="36"/>
      <c r="X78" s="273">
        <v>2</v>
      </c>
      <c r="Y78" s="1210" t="s">
        <v>508</v>
      </c>
      <c r="Z78" s="1211"/>
      <c r="AA78" s="1211"/>
      <c r="AB78" s="1211"/>
      <c r="AC78" s="7"/>
      <c r="AD78" s="7"/>
    </row>
    <row r="79" spans="4:30" s="3" customFormat="1" ht="23.1" customHeight="1" x14ac:dyDescent="0.2">
      <c r="D79" s="18"/>
      <c r="E79" s="18"/>
      <c r="F79" s="1284"/>
      <c r="G79" s="1170"/>
      <c r="H79" s="1285"/>
      <c r="I79" s="7"/>
      <c r="J79" s="1221" t="s">
        <v>103</v>
      </c>
      <c r="K79" s="1222"/>
      <c r="L79" s="1222"/>
      <c r="M79" s="1222"/>
      <c r="N79" s="1222"/>
      <c r="O79" s="1223"/>
      <c r="P79" s="39">
        <v>1</v>
      </c>
      <c r="Q79" s="1208" t="s">
        <v>328</v>
      </c>
      <c r="R79" s="1208"/>
      <c r="S79" s="1209"/>
      <c r="U79" s="1291"/>
      <c r="V79" s="1292"/>
      <c r="W79" s="36"/>
      <c r="X79" s="273">
        <v>1</v>
      </c>
      <c r="Y79" s="1210" t="s">
        <v>328</v>
      </c>
      <c r="Z79" s="1211"/>
      <c r="AA79" s="1211"/>
      <c r="AB79" s="1211"/>
      <c r="AC79" s="7"/>
      <c r="AD79" s="7"/>
    </row>
    <row r="80" spans="4:30" s="3" customFormat="1" ht="23.1" customHeight="1" x14ac:dyDescent="0.2">
      <c r="D80" s="18"/>
      <c r="E80" s="18"/>
      <c r="F80" s="1284"/>
      <c r="G80" s="1170"/>
      <c r="H80" s="1285"/>
      <c r="I80" s="7"/>
      <c r="J80" s="1275" t="s">
        <v>73</v>
      </c>
      <c r="K80" s="1276"/>
      <c r="L80" s="1276"/>
      <c r="M80" s="1276"/>
      <c r="N80" s="1276"/>
      <c r="O80" s="1277"/>
      <c r="P80" s="41">
        <v>1</v>
      </c>
      <c r="Q80" s="1208" t="s">
        <v>340</v>
      </c>
      <c r="R80" s="1208"/>
      <c r="S80" s="1209"/>
      <c r="U80" s="1291"/>
      <c r="V80" s="1292"/>
      <c r="W80" s="36"/>
      <c r="X80" s="273">
        <v>1</v>
      </c>
      <c r="Y80" s="1210" t="s">
        <v>340</v>
      </c>
      <c r="Z80" s="1211"/>
      <c r="AA80" s="1211"/>
      <c r="AB80" s="1211"/>
      <c r="AC80" s="7"/>
      <c r="AD80" s="7"/>
    </row>
    <row r="81" spans="4:32" s="3" customFormat="1" ht="23.1" customHeight="1" x14ac:dyDescent="0.2">
      <c r="D81" s="18"/>
      <c r="E81" s="18"/>
      <c r="F81" s="1284"/>
      <c r="G81" s="1170"/>
      <c r="H81" s="1285"/>
      <c r="I81" s="7"/>
      <c r="J81" s="1278"/>
      <c r="K81" s="1279"/>
      <c r="L81" s="1279"/>
      <c r="M81" s="1279"/>
      <c r="N81" s="1279"/>
      <c r="O81" s="1280"/>
      <c r="P81" s="39">
        <v>2</v>
      </c>
      <c r="Q81" s="1208" t="s">
        <v>341</v>
      </c>
      <c r="R81" s="1208"/>
      <c r="S81" s="1209"/>
      <c r="U81" s="1291"/>
      <c r="V81" s="1292"/>
      <c r="W81" s="36"/>
      <c r="X81" s="273">
        <v>2</v>
      </c>
      <c r="Y81" s="1210" t="s">
        <v>508</v>
      </c>
      <c r="Z81" s="1211"/>
      <c r="AA81" s="1211"/>
      <c r="AB81" s="1211"/>
      <c r="AC81" s="7"/>
      <c r="AD81" s="7"/>
    </row>
    <row r="82" spans="4:32" s="3" customFormat="1" ht="23.1" customHeight="1" x14ac:dyDescent="0.2">
      <c r="D82" s="18"/>
      <c r="E82" s="18"/>
      <c r="F82" s="1284"/>
      <c r="G82" s="1170"/>
      <c r="H82" s="1285"/>
      <c r="I82" s="7"/>
      <c r="J82" s="1221" t="s">
        <v>85</v>
      </c>
      <c r="K82" s="1222"/>
      <c r="L82" s="1222"/>
      <c r="M82" s="1222"/>
      <c r="N82" s="1222"/>
      <c r="O82" s="1223"/>
      <c r="P82" s="40">
        <v>1</v>
      </c>
      <c r="Q82" s="1208" t="s">
        <v>328</v>
      </c>
      <c r="R82" s="1208"/>
      <c r="S82" s="1209"/>
      <c r="U82" s="1291"/>
      <c r="V82" s="1292"/>
      <c r="W82" s="36"/>
      <c r="X82" s="273">
        <v>1</v>
      </c>
      <c r="Y82" s="1210" t="s">
        <v>328</v>
      </c>
      <c r="Z82" s="1211"/>
      <c r="AA82" s="1211"/>
      <c r="AB82" s="1211"/>
      <c r="AC82" s="7"/>
      <c r="AD82" s="7"/>
    </row>
    <row r="83" spans="4:32" s="3" customFormat="1" ht="23.1" customHeight="1" x14ac:dyDescent="0.2">
      <c r="D83" s="18"/>
      <c r="E83" s="18"/>
      <c r="F83" s="1284"/>
      <c r="G83" s="1170"/>
      <c r="H83" s="1285"/>
      <c r="I83" s="7"/>
      <c r="J83" s="1221" t="s">
        <v>92</v>
      </c>
      <c r="K83" s="1222"/>
      <c r="L83" s="1222"/>
      <c r="M83" s="1222"/>
      <c r="N83" s="1222"/>
      <c r="O83" s="1223"/>
      <c r="P83" s="40">
        <v>1</v>
      </c>
      <c r="Q83" s="1208" t="s">
        <v>328</v>
      </c>
      <c r="R83" s="1208"/>
      <c r="S83" s="1209"/>
      <c r="U83" s="1291"/>
      <c r="V83" s="1292"/>
      <c r="W83" s="36"/>
      <c r="X83" s="273">
        <v>1</v>
      </c>
      <c r="Y83" s="1210" t="s">
        <v>328</v>
      </c>
      <c r="Z83" s="1211"/>
      <c r="AA83" s="1211"/>
      <c r="AB83" s="1211"/>
      <c r="AC83" s="7"/>
      <c r="AD83" s="7"/>
    </row>
    <row r="84" spans="4:32" s="3" customFormat="1" ht="23.1" customHeight="1" x14ac:dyDescent="0.2">
      <c r="D84" s="18"/>
      <c r="E84" s="18"/>
      <c r="F84" s="1286"/>
      <c r="G84" s="1287"/>
      <c r="H84" s="1288"/>
      <c r="I84" s="7"/>
      <c r="J84" s="1221" t="s">
        <v>339</v>
      </c>
      <c r="K84" s="1222"/>
      <c r="L84" s="1222"/>
      <c r="M84" s="1222"/>
      <c r="N84" s="1222"/>
      <c r="O84" s="1223"/>
      <c r="P84" s="40">
        <v>1</v>
      </c>
      <c r="Q84" s="1208" t="s">
        <v>328</v>
      </c>
      <c r="R84" s="1208"/>
      <c r="S84" s="1209"/>
      <c r="T84" s="7"/>
      <c r="U84" s="1293"/>
      <c r="V84" s="1294"/>
      <c r="W84" s="7"/>
      <c r="X84" s="273">
        <v>1</v>
      </c>
      <c r="Y84" s="1210" t="s">
        <v>328</v>
      </c>
      <c r="Z84" s="1211"/>
      <c r="AA84" s="1211"/>
      <c r="AB84" s="1211"/>
      <c r="AC84" s="7"/>
      <c r="AD84" s="7"/>
    </row>
    <row r="85" spans="4:32" s="3" customFormat="1" ht="7.5" customHeight="1" x14ac:dyDescent="0.2">
      <c r="D85" s="18"/>
      <c r="E85" s="18"/>
      <c r="F85" s="7"/>
      <c r="G85" s="7"/>
      <c r="H85" s="7"/>
      <c r="I85" s="7"/>
      <c r="J85" s="7"/>
      <c r="K85" s="7"/>
      <c r="L85" s="7"/>
      <c r="M85" s="7"/>
      <c r="N85" s="7"/>
      <c r="O85" s="7"/>
      <c r="P85" s="7"/>
      <c r="Q85" s="7"/>
      <c r="R85" s="7"/>
      <c r="S85" s="7"/>
      <c r="T85" s="7"/>
      <c r="U85" s="7"/>
      <c r="V85" s="7"/>
      <c r="W85" s="7"/>
      <c r="X85" s="7"/>
      <c r="Y85" s="7"/>
      <c r="Z85" s="7"/>
      <c r="AA85" s="7"/>
      <c r="AB85" s="7"/>
      <c r="AC85" s="7"/>
      <c r="AD85" s="7"/>
    </row>
    <row r="86" spans="4:32" s="3" customFormat="1" ht="15.75" customHeight="1" x14ac:dyDescent="0.2">
      <c r="D86" s="18"/>
      <c r="E86" s="18"/>
      <c r="F86" s="7"/>
      <c r="G86" s="7"/>
      <c r="H86" s="7"/>
      <c r="I86" s="7"/>
      <c r="J86" s="22"/>
      <c r="K86" s="7"/>
      <c r="L86" s="7"/>
      <c r="M86" s="7"/>
      <c r="N86" s="7"/>
      <c r="O86" s="7"/>
      <c r="P86" s="7"/>
      <c r="Q86" s="7"/>
      <c r="R86" s="7"/>
      <c r="S86" s="7"/>
      <c r="T86" s="7"/>
      <c r="U86" s="7"/>
      <c r="V86" s="7"/>
      <c r="W86" s="7"/>
      <c r="X86" s="1151" t="s">
        <v>133</v>
      </c>
      <c r="Y86" s="1151"/>
      <c r="Z86" s="1151"/>
      <c r="AA86" s="1151"/>
      <c r="AB86" s="1151"/>
      <c r="AC86" s="1151"/>
      <c r="AD86" s="1151"/>
      <c r="AE86" s="37"/>
      <c r="AF86" s="37"/>
    </row>
    <row r="87" spans="4:32" s="3" customFormat="1" ht="15.75" customHeight="1" x14ac:dyDescent="0.2">
      <c r="D87" s="18"/>
      <c r="E87" s="18"/>
      <c r="F87" s="7"/>
      <c r="G87" s="7"/>
      <c r="H87" s="7"/>
      <c r="I87" s="7"/>
      <c r="J87" s="22"/>
      <c r="K87" s="7"/>
      <c r="L87" s="7"/>
      <c r="M87" s="7"/>
      <c r="N87" s="7"/>
      <c r="O87" s="7"/>
      <c r="P87" s="7"/>
      <c r="Q87" s="7"/>
      <c r="R87" s="7"/>
      <c r="S87" s="7"/>
      <c r="T87" s="7"/>
      <c r="U87" s="7"/>
      <c r="V87" s="7"/>
      <c r="W87" s="7"/>
      <c r="X87" s="1151"/>
      <c r="Y87" s="1151"/>
      <c r="Z87" s="1151"/>
      <c r="AA87" s="1151"/>
      <c r="AB87" s="1151"/>
      <c r="AC87" s="1151"/>
      <c r="AD87" s="1151"/>
      <c r="AE87" s="37"/>
      <c r="AF87" s="37"/>
    </row>
    <row r="88" spans="4:32" s="3" customFormat="1" ht="7.5" customHeight="1" x14ac:dyDescent="0.2">
      <c r="D88" s="18"/>
      <c r="E88" s="18"/>
      <c r="F88" s="7"/>
      <c r="G88" s="7"/>
      <c r="H88" s="7"/>
      <c r="I88" s="7"/>
      <c r="J88" s="38"/>
      <c r="K88" s="7"/>
      <c r="L88" s="7"/>
      <c r="M88" s="7"/>
      <c r="N88" s="7"/>
      <c r="O88" s="7"/>
      <c r="P88" s="7"/>
      <c r="Q88" s="7"/>
      <c r="R88" s="7"/>
      <c r="S88" s="7"/>
      <c r="T88" s="7"/>
      <c r="U88" s="7"/>
      <c r="V88" s="7"/>
      <c r="W88" s="7"/>
      <c r="X88" s="1151"/>
      <c r="Y88" s="1151"/>
      <c r="Z88" s="1151"/>
      <c r="AA88" s="1151"/>
      <c r="AB88" s="1151"/>
      <c r="AC88" s="1151"/>
      <c r="AD88" s="1151"/>
    </row>
  </sheetData>
  <sheetProtection sheet="1"/>
  <mergeCells count="237">
    <mergeCell ref="B27:C27"/>
    <mergeCell ref="D27:E27"/>
    <mergeCell ref="F27:I27"/>
    <mergeCell ref="J27:K27"/>
    <mergeCell ref="B28:C28"/>
    <mergeCell ref="D28:E28"/>
    <mergeCell ref="F28:I28"/>
    <mergeCell ref="J28:K28"/>
    <mergeCell ref="B26:C26"/>
    <mergeCell ref="D26:E26"/>
    <mergeCell ref="F26:I26"/>
    <mergeCell ref="J26:K26"/>
    <mergeCell ref="B24:C24"/>
    <mergeCell ref="D24:E24"/>
    <mergeCell ref="Y24:AA24"/>
    <mergeCell ref="M24:N24"/>
    <mergeCell ref="P21:AD21"/>
    <mergeCell ref="P22:R22"/>
    <mergeCell ref="P23:R23"/>
    <mergeCell ref="P24:R24"/>
    <mergeCell ref="B25:C25"/>
    <mergeCell ref="D25:E25"/>
    <mergeCell ref="F25:I25"/>
    <mergeCell ref="J25:K25"/>
    <mergeCell ref="M25:N25"/>
    <mergeCell ref="Y23:AA23"/>
    <mergeCell ref="B23:C23"/>
    <mergeCell ref="D23:E23"/>
    <mergeCell ref="Y22:AA22"/>
    <mergeCell ref="C2:H2"/>
    <mergeCell ref="J2:O2"/>
    <mergeCell ref="Q2:V2"/>
    <mergeCell ref="X2:AC2"/>
    <mergeCell ref="Z14:AB14"/>
    <mergeCell ref="B14:C14"/>
    <mergeCell ref="D14:E14"/>
    <mergeCell ref="G14:H14"/>
    <mergeCell ref="W12:Y12"/>
    <mergeCell ref="W13:Y13"/>
    <mergeCell ref="W9:AH10"/>
    <mergeCell ref="B10:E10"/>
    <mergeCell ref="B12:C12"/>
    <mergeCell ref="D12:E12"/>
    <mergeCell ref="G12:K12"/>
    <mergeCell ref="M12:O12"/>
    <mergeCell ref="P12:R12"/>
    <mergeCell ref="S12:U12"/>
    <mergeCell ref="AC12:AE12"/>
    <mergeCell ref="B9:K9"/>
    <mergeCell ref="M9:R10"/>
    <mergeCell ref="S9:U10"/>
    <mergeCell ref="AF12:AH12"/>
    <mergeCell ref="Z12:AB12"/>
    <mergeCell ref="AJ19:AK19"/>
    <mergeCell ref="AJ18:AK18"/>
    <mergeCell ref="B19:C19"/>
    <mergeCell ref="M23:N23"/>
    <mergeCell ref="S17:U18"/>
    <mergeCell ref="AJ17:AK17"/>
    <mergeCell ref="W14:Y14"/>
    <mergeCell ref="M15:U16"/>
    <mergeCell ref="AA15:AB15"/>
    <mergeCell ref="M21:N22"/>
    <mergeCell ref="D19:E19"/>
    <mergeCell ref="G19:H19"/>
    <mergeCell ref="I19:K19"/>
    <mergeCell ref="Y15:Z15"/>
    <mergeCell ref="S14:U14"/>
    <mergeCell ref="B22:E22"/>
    <mergeCell ref="B15:C15"/>
    <mergeCell ref="D15:E15"/>
    <mergeCell ref="G15:H15"/>
    <mergeCell ref="I15:K15"/>
    <mergeCell ref="M17:O18"/>
    <mergeCell ref="P17:R18"/>
    <mergeCell ref="AC14:AE14"/>
    <mergeCell ref="AF14:AH14"/>
    <mergeCell ref="AJ15:AK15"/>
    <mergeCell ref="B16:C16"/>
    <mergeCell ref="D16:E16"/>
    <mergeCell ref="G16:H16"/>
    <mergeCell ref="I16:K16"/>
    <mergeCell ref="AC15:AE15"/>
    <mergeCell ref="B18:C18"/>
    <mergeCell ref="D18:E18"/>
    <mergeCell ref="G18:H18"/>
    <mergeCell ref="I18:K18"/>
    <mergeCell ref="B17:C17"/>
    <mergeCell ref="D17:E17"/>
    <mergeCell ref="G17:H17"/>
    <mergeCell ref="I17:K17"/>
    <mergeCell ref="AJ16:AK16"/>
    <mergeCell ref="AF15:AH15"/>
    <mergeCell ref="AJ12:AK12"/>
    <mergeCell ref="B13:C13"/>
    <mergeCell ref="D13:E13"/>
    <mergeCell ref="G13:H13"/>
    <mergeCell ref="I13:K13"/>
    <mergeCell ref="M13:O13"/>
    <mergeCell ref="P13:R13"/>
    <mergeCell ref="S13:U13"/>
    <mergeCell ref="AF13:AH13"/>
    <mergeCell ref="AJ13:AK13"/>
    <mergeCell ref="Z13:AB13"/>
    <mergeCell ref="I14:K14"/>
    <mergeCell ref="M14:O14"/>
    <mergeCell ref="AC13:AE13"/>
    <mergeCell ref="D34:E34"/>
    <mergeCell ref="F34:Q34"/>
    <mergeCell ref="S24:U24"/>
    <mergeCell ref="V22:X22"/>
    <mergeCell ref="V23:X23"/>
    <mergeCell ref="V24:X24"/>
    <mergeCell ref="AB22:AD22"/>
    <mergeCell ref="S22:U22"/>
    <mergeCell ref="S23:U23"/>
    <mergeCell ref="W15:X15"/>
    <mergeCell ref="P14:R14"/>
    <mergeCell ref="M26:N26"/>
    <mergeCell ref="AJ14:AK14"/>
    <mergeCell ref="AB23:AD23"/>
    <mergeCell ref="AB24:AD24"/>
    <mergeCell ref="F36:T36"/>
    <mergeCell ref="V36:AD36"/>
    <mergeCell ref="F38:I46"/>
    <mergeCell ref="K38:P39"/>
    <mergeCell ref="R38:T50"/>
    <mergeCell ref="V38:W38"/>
    <mergeCell ref="X38:AD38"/>
    <mergeCell ref="V39:W39"/>
    <mergeCell ref="X39:AD39"/>
    <mergeCell ref="K40:P41"/>
    <mergeCell ref="X44:AD44"/>
    <mergeCell ref="K45:P45"/>
    <mergeCell ref="V45:W45"/>
    <mergeCell ref="X45:AD45"/>
    <mergeCell ref="V40:W40"/>
    <mergeCell ref="X40:AD40"/>
    <mergeCell ref="V41:W41"/>
    <mergeCell ref="X41:AD41"/>
    <mergeCell ref="K42:P43"/>
    <mergeCell ref="V42:W42"/>
    <mergeCell ref="X42:AD42"/>
    <mergeCell ref="V43:W43"/>
    <mergeCell ref="X43:AD43"/>
    <mergeCell ref="K44:P44"/>
    <mergeCell ref="D61:E61"/>
    <mergeCell ref="F58:I58"/>
    <mergeCell ref="K58:O58"/>
    <mergeCell ref="Q58:T58"/>
    <mergeCell ref="K46:P46"/>
    <mergeCell ref="V46:W46"/>
    <mergeCell ref="X46:AD46"/>
    <mergeCell ref="V51:AD53"/>
    <mergeCell ref="D55:E55"/>
    <mergeCell ref="V49:W49"/>
    <mergeCell ref="F47:I50"/>
    <mergeCell ref="K47:P47"/>
    <mergeCell ref="V47:W47"/>
    <mergeCell ref="X47:AD47"/>
    <mergeCell ref="K48:P48"/>
    <mergeCell ref="V48:W48"/>
    <mergeCell ref="X48:AD48"/>
    <mergeCell ref="X49:AD49"/>
    <mergeCell ref="K50:P50"/>
    <mergeCell ref="V50:W50"/>
    <mergeCell ref="X50:AD50"/>
    <mergeCell ref="K49:P49"/>
    <mergeCell ref="V44:W44"/>
    <mergeCell ref="V58:W58"/>
    <mergeCell ref="X58:AD58"/>
    <mergeCell ref="V59:AD60"/>
    <mergeCell ref="F64:H84"/>
    <mergeCell ref="J64:O65"/>
    <mergeCell ref="Q64:S64"/>
    <mergeCell ref="U64:V84"/>
    <mergeCell ref="Y64:AB64"/>
    <mergeCell ref="Q65:S65"/>
    <mergeCell ref="Y65:AB65"/>
    <mergeCell ref="J70:O70"/>
    <mergeCell ref="Q70:S70"/>
    <mergeCell ref="Y70:AB70"/>
    <mergeCell ref="J71:O72"/>
    <mergeCell ref="Q71:S71"/>
    <mergeCell ref="Y71:AB71"/>
    <mergeCell ref="Q72:S72"/>
    <mergeCell ref="Y72:AB72"/>
    <mergeCell ref="J66:O67"/>
    <mergeCell ref="Q66:S66"/>
    <mergeCell ref="Y66:AB66"/>
    <mergeCell ref="Q67:S67"/>
    <mergeCell ref="Y67:AB67"/>
    <mergeCell ref="J68:O69"/>
    <mergeCell ref="Q68:S68"/>
    <mergeCell ref="Y68:AB68"/>
    <mergeCell ref="Q69:S69"/>
    <mergeCell ref="Y69:AB69"/>
    <mergeCell ref="Y77:AB77"/>
    <mergeCell ref="Q78:S78"/>
    <mergeCell ref="Y78:AB78"/>
    <mergeCell ref="J79:O79"/>
    <mergeCell ref="Q79:S79"/>
    <mergeCell ref="Y79:AB79"/>
    <mergeCell ref="J73:O74"/>
    <mergeCell ref="Q73:S73"/>
    <mergeCell ref="Y73:AB73"/>
    <mergeCell ref="Q74:S74"/>
    <mergeCell ref="Y74:AB74"/>
    <mergeCell ref="J75:O76"/>
    <mergeCell ref="Q75:S75"/>
    <mergeCell ref="Y75:AB75"/>
    <mergeCell ref="Q76:S76"/>
    <mergeCell ref="Y76:AB76"/>
    <mergeCell ref="X86:AD88"/>
    <mergeCell ref="B21:K21"/>
    <mergeCell ref="J22:K22"/>
    <mergeCell ref="J23:K23"/>
    <mergeCell ref="J24:K24"/>
    <mergeCell ref="F22:I22"/>
    <mergeCell ref="F23:I23"/>
    <mergeCell ref="F24:I24"/>
    <mergeCell ref="J83:O83"/>
    <mergeCell ref="Q83:S83"/>
    <mergeCell ref="Y83:AB83"/>
    <mergeCell ref="J84:O84"/>
    <mergeCell ref="Q84:S84"/>
    <mergeCell ref="Y84:AB84"/>
    <mergeCell ref="J80:O81"/>
    <mergeCell ref="Q80:S80"/>
    <mergeCell ref="Y80:AB80"/>
    <mergeCell ref="Q81:S81"/>
    <mergeCell ref="Y81:AB81"/>
    <mergeCell ref="J82:O82"/>
    <mergeCell ref="Q82:S82"/>
    <mergeCell ref="Y82:AB82"/>
    <mergeCell ref="J77:O78"/>
    <mergeCell ref="Q77:S77"/>
  </mergeCells>
  <pageMargins left="0.511811024" right="0.511811024" top="0.78740157499999996" bottom="0.78740157499999996" header="0.31496062000000002" footer="0.31496062000000002"/>
  <pageSetup paperSize="9" orientation="portrait" r:id="rId1"/>
  <ignoredErrors>
    <ignoredError sqref="D27"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1"/>
  <dimension ref="B2:AF70"/>
  <sheetViews>
    <sheetView topLeftCell="A57" zoomScaleNormal="100" workbookViewId="0">
      <selection activeCell="U58" sqref="U58:V66"/>
    </sheetView>
  </sheetViews>
  <sheetFormatPr defaultColWidth="5.125" defaultRowHeight="14.25" x14ac:dyDescent="0.2"/>
  <cols>
    <col min="1" max="22" width="5.125" style="243"/>
    <col min="23" max="23" width="4.875" style="243" customWidth="1"/>
    <col min="24" max="24" width="6.25" style="243" customWidth="1"/>
    <col min="25" max="25" width="5.75" style="243" customWidth="1"/>
    <col min="26" max="16384" width="5.125" style="243"/>
  </cols>
  <sheetData>
    <row r="2" spans="2:31"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139"/>
      <c r="AD2" s="190"/>
      <c r="AE2" s="191"/>
    </row>
    <row r="4" spans="2:31" ht="15" x14ac:dyDescent="0.25">
      <c r="B4" s="245" t="s">
        <v>279</v>
      </c>
    </row>
    <row r="5" spans="2:31" ht="15" x14ac:dyDescent="0.25">
      <c r="B5" s="245"/>
    </row>
    <row r="6" spans="2:31" ht="15" customHeight="1" x14ac:dyDescent="0.25">
      <c r="B6" s="245" t="s">
        <v>567</v>
      </c>
    </row>
    <row r="7" spans="2:31" ht="15" x14ac:dyDescent="0.25">
      <c r="B7" s="245"/>
    </row>
    <row r="8" spans="2:31" x14ac:dyDescent="0.2">
      <c r="E8" s="205"/>
      <c r="F8" s="205"/>
      <c r="G8" s="205"/>
      <c r="H8" s="205"/>
      <c r="I8" s="205"/>
      <c r="J8" s="205"/>
    </row>
    <row r="9" spans="2:31" s="15" customFormat="1" ht="28.5" customHeight="1" x14ac:dyDescent="0.2">
      <c r="B9" s="865" t="s">
        <v>581</v>
      </c>
      <c r="C9" s="866"/>
      <c r="D9" s="866"/>
      <c r="E9" s="866"/>
      <c r="F9" s="866"/>
      <c r="G9" s="866"/>
      <c r="H9" s="866"/>
      <c r="I9" s="866"/>
      <c r="J9" s="866"/>
      <c r="K9" s="866"/>
      <c r="L9" s="867"/>
      <c r="N9" s="1330" t="s">
        <v>580</v>
      </c>
      <c r="O9" s="1331"/>
      <c r="P9" s="1331"/>
      <c r="Q9" s="1331"/>
      <c r="R9" s="1331"/>
      <c r="S9" s="1332"/>
      <c r="U9" s="692" t="s">
        <v>546</v>
      </c>
      <c r="V9" s="692"/>
      <c r="W9" s="189"/>
      <c r="X9" s="828" t="s">
        <v>547</v>
      </c>
      <c r="Y9" s="829"/>
      <c r="AA9" s="838" t="s">
        <v>594</v>
      </c>
      <c r="AB9" s="838"/>
      <c r="AD9" s="640" t="s">
        <v>544</v>
      </c>
      <c r="AE9" s="640"/>
    </row>
    <row r="10" spans="2:31" s="192" customFormat="1" ht="5.0999999999999996" customHeight="1" x14ac:dyDescent="0.2">
      <c r="C10" s="20"/>
      <c r="AD10" s="48"/>
      <c r="AE10" s="48"/>
    </row>
    <row r="11" spans="2:31" s="192" customFormat="1" ht="30" customHeight="1" x14ac:dyDescent="0.2">
      <c r="B11" s="611" t="s">
        <v>280</v>
      </c>
      <c r="C11" s="611"/>
      <c r="D11" s="611"/>
      <c r="E11" s="611"/>
      <c r="G11" s="618" t="s">
        <v>281</v>
      </c>
      <c r="H11" s="631"/>
      <c r="I11" s="631"/>
      <c r="J11" s="631"/>
      <c r="K11" s="631"/>
      <c r="L11" s="619"/>
      <c r="N11" s="1302">
        <v>0.5</v>
      </c>
      <c r="O11" s="1303"/>
      <c r="P11" s="600" t="s">
        <v>495</v>
      </c>
      <c r="Q11" s="600"/>
      <c r="R11" s="600"/>
      <c r="S11" s="601"/>
      <c r="T11" s="206"/>
      <c r="U11" s="632">
        <f>CADASTRO!$BS$32*N11</f>
        <v>70</v>
      </c>
      <c r="V11" s="632"/>
      <c r="W11" s="206"/>
      <c r="X11" s="1326">
        <v>100</v>
      </c>
      <c r="Y11" s="1327"/>
      <c r="AA11" s="708">
        <f>X11/U11</f>
        <v>1.4285714285714286</v>
      </c>
      <c r="AB11" s="708"/>
      <c r="AD11" s="1329">
        <v>1</v>
      </c>
      <c r="AE11" s="1329"/>
    </row>
    <row r="12" spans="2:31" s="192" customFormat="1" ht="30" customHeight="1" x14ac:dyDescent="0.2">
      <c r="B12" s="611" t="s">
        <v>282</v>
      </c>
      <c r="C12" s="611"/>
      <c r="D12" s="611"/>
      <c r="E12" s="611"/>
      <c r="G12" s="618" t="s">
        <v>283</v>
      </c>
      <c r="H12" s="631"/>
      <c r="I12" s="631"/>
      <c r="J12" s="631"/>
      <c r="K12" s="631"/>
      <c r="L12" s="619"/>
      <c r="N12" s="1317">
        <v>0.3</v>
      </c>
      <c r="O12" s="1318"/>
      <c r="P12" s="1304" t="s">
        <v>496</v>
      </c>
      <c r="Q12" s="1304"/>
      <c r="R12" s="1304"/>
      <c r="S12" s="1305"/>
      <c r="T12" s="206"/>
      <c r="U12" s="632">
        <f>CADASTRO!$BS$32*N12</f>
        <v>42</v>
      </c>
      <c r="V12" s="632"/>
      <c r="W12" s="206"/>
      <c r="X12" s="1326">
        <v>100</v>
      </c>
      <c r="Y12" s="1327"/>
      <c r="AA12" s="708">
        <f>X12/U12</f>
        <v>2.3809523809523809</v>
      </c>
      <c r="AB12" s="708"/>
      <c r="AD12" s="1329">
        <v>1</v>
      </c>
      <c r="AE12" s="1329"/>
    </row>
    <row r="13" spans="2:31" s="192" customFormat="1" ht="30" customHeight="1" x14ac:dyDescent="0.2">
      <c r="B13" s="611" t="s">
        <v>500</v>
      </c>
      <c r="C13" s="611"/>
      <c r="D13" s="611"/>
      <c r="E13" s="611"/>
      <c r="G13" s="618" t="s">
        <v>302</v>
      </c>
      <c r="H13" s="631"/>
      <c r="I13" s="631"/>
      <c r="J13" s="631"/>
      <c r="K13" s="631"/>
      <c r="L13" s="619"/>
      <c r="N13" s="1317">
        <v>0.2</v>
      </c>
      <c r="O13" s="1318"/>
      <c r="P13" s="1304" t="s">
        <v>343</v>
      </c>
      <c r="Q13" s="1304"/>
      <c r="R13" s="1304"/>
      <c r="S13" s="1305"/>
      <c r="T13" s="206"/>
      <c r="U13" s="632">
        <f>CADASTRO!$BS$32*N13</f>
        <v>28</v>
      </c>
      <c r="V13" s="632"/>
      <c r="W13" s="206"/>
      <c r="X13" s="1328">
        <v>80</v>
      </c>
      <c r="Y13" s="1328"/>
      <c r="AA13" s="708">
        <f>X13/U13</f>
        <v>2.8571428571428572</v>
      </c>
      <c r="AB13" s="708"/>
      <c r="AD13" s="1329">
        <v>1</v>
      </c>
      <c r="AE13" s="1329"/>
    </row>
    <row r="14" spans="2:31" s="192" customFormat="1" ht="45.75" customHeight="1" x14ac:dyDescent="0.2">
      <c r="B14" s="611" t="s">
        <v>499</v>
      </c>
      <c r="C14" s="611"/>
      <c r="D14" s="611"/>
      <c r="E14" s="611"/>
      <c r="G14" s="618" t="s">
        <v>284</v>
      </c>
      <c r="H14" s="631"/>
      <c r="I14" s="631"/>
      <c r="J14" s="631"/>
      <c r="K14" s="631"/>
      <c r="L14" s="619"/>
      <c r="N14" s="1317">
        <v>0.3</v>
      </c>
      <c r="O14" s="1318"/>
      <c r="P14" s="1304" t="s">
        <v>564</v>
      </c>
      <c r="Q14" s="1304"/>
      <c r="R14" s="1304"/>
      <c r="S14" s="1305"/>
      <c r="T14" s="206"/>
      <c r="U14" s="632">
        <f>U13*N14</f>
        <v>8.4</v>
      </c>
      <c r="V14" s="632"/>
      <c r="W14" s="206"/>
      <c r="X14" s="206"/>
      <c r="AA14" s="234"/>
      <c r="AB14" s="234"/>
      <c r="AC14" s="234"/>
      <c r="AD14" s="234"/>
      <c r="AE14" s="234"/>
    </row>
    <row r="15" spans="2:31" s="192" customFormat="1" ht="45.75" customHeight="1" x14ac:dyDescent="0.2">
      <c r="B15" s="611" t="s">
        <v>498</v>
      </c>
      <c r="C15" s="611"/>
      <c r="D15" s="611"/>
      <c r="E15" s="611"/>
      <c r="G15" s="618" t="s">
        <v>285</v>
      </c>
      <c r="H15" s="631"/>
      <c r="I15" s="631"/>
      <c r="J15" s="631"/>
      <c r="K15" s="631"/>
      <c r="L15" s="619"/>
      <c r="N15" s="1317">
        <v>0.6</v>
      </c>
      <c r="O15" s="1318"/>
      <c r="P15" s="1304" t="s">
        <v>565</v>
      </c>
      <c r="Q15" s="1304"/>
      <c r="R15" s="1304"/>
      <c r="S15" s="1305"/>
      <c r="T15" s="206"/>
      <c r="U15" s="632">
        <f>U13*N15</f>
        <v>16.8</v>
      </c>
      <c r="V15" s="632"/>
      <c r="W15" s="206"/>
      <c r="X15" s="206"/>
      <c r="AC15" s="234"/>
      <c r="AD15" s="234"/>
      <c r="AE15" s="234"/>
    </row>
    <row r="16" spans="2:31" s="192" customFormat="1" ht="30" customHeight="1" x14ac:dyDescent="0.2">
      <c r="B16" s="611" t="s">
        <v>497</v>
      </c>
      <c r="C16" s="611"/>
      <c r="D16" s="611"/>
      <c r="E16" s="611"/>
      <c r="G16" s="618" t="s">
        <v>286</v>
      </c>
      <c r="H16" s="631"/>
      <c r="I16" s="631"/>
      <c r="J16" s="631"/>
      <c r="K16" s="631"/>
      <c r="L16" s="619"/>
      <c r="N16" s="1319">
        <v>0.1</v>
      </c>
      <c r="O16" s="1320"/>
      <c r="P16" s="1324" t="s">
        <v>566</v>
      </c>
      <c r="Q16" s="1324"/>
      <c r="R16" s="1324"/>
      <c r="S16" s="1325"/>
      <c r="T16" s="206"/>
      <c r="U16" s="632">
        <f>U13*N16</f>
        <v>2.8000000000000003</v>
      </c>
      <c r="V16" s="632"/>
      <c r="W16" s="206"/>
      <c r="X16" s="206"/>
      <c r="AC16" s="234"/>
      <c r="AD16" s="234"/>
      <c r="AE16" s="234"/>
    </row>
    <row r="17" spans="2:30" s="192" customFormat="1" ht="20.25" customHeight="1" x14ac:dyDescent="0.25">
      <c r="B17" s="1316" t="s">
        <v>599</v>
      </c>
      <c r="C17" s="1316"/>
      <c r="D17" s="1316"/>
      <c r="E17" s="1316"/>
      <c r="F17" s="1316"/>
      <c r="G17" s="1316"/>
      <c r="H17" s="1316"/>
      <c r="I17" s="1316"/>
      <c r="J17" s="1316"/>
      <c r="K17" s="1316"/>
      <c r="L17" s="1316"/>
      <c r="V17" s="848"/>
      <c r="W17" s="848"/>
      <c r="X17" s="848"/>
      <c r="Y17" s="848"/>
      <c r="Z17" s="848"/>
      <c r="AA17" s="848"/>
      <c r="AB17" s="848"/>
      <c r="AC17" s="848"/>
      <c r="AD17" s="848"/>
    </row>
    <row r="18" spans="2:30" s="275" customFormat="1" ht="15" x14ac:dyDescent="0.25">
      <c r="B18" s="1316"/>
      <c r="C18" s="1316"/>
      <c r="D18" s="1316"/>
      <c r="E18" s="1316"/>
      <c r="F18" s="1316"/>
      <c r="G18" s="1316"/>
      <c r="H18" s="1316"/>
      <c r="I18" s="1316"/>
      <c r="J18" s="1316"/>
      <c r="K18" s="1316"/>
      <c r="L18" s="1316"/>
    </row>
    <row r="20" spans="2:30" ht="30" customHeight="1" x14ac:dyDescent="0.2">
      <c r="G20" s="1323" t="s">
        <v>711</v>
      </c>
      <c r="H20" s="1323"/>
      <c r="K20" s="745" t="s">
        <v>600</v>
      </c>
      <c r="L20" s="746"/>
      <c r="M20" s="746"/>
      <c r="N20" s="746"/>
      <c r="O20" s="746"/>
      <c r="P20" s="746"/>
      <c r="Q20" s="746"/>
      <c r="R20" s="747"/>
    </row>
    <row r="21" spans="2:30" ht="30" customHeight="1" x14ac:dyDescent="0.2">
      <c r="G21" s="1323"/>
      <c r="H21" s="1323"/>
      <c r="K21" s="1321" t="s">
        <v>344</v>
      </c>
      <c r="L21" s="1321"/>
      <c r="M21" s="1322" t="s">
        <v>346</v>
      </c>
      <c r="N21" s="1322"/>
      <c r="O21" s="1322" t="s">
        <v>342</v>
      </c>
      <c r="P21" s="1322"/>
      <c r="Q21" s="1322" t="s">
        <v>343</v>
      </c>
      <c r="R21" s="1322"/>
    </row>
    <row r="22" spans="2:30" ht="30" customHeight="1" x14ac:dyDescent="0.2">
      <c r="G22" s="1306">
        <f>(X11+X12+X13)/(U11+U12+U13)</f>
        <v>2</v>
      </c>
      <c r="H22" s="1306"/>
      <c r="K22" s="1313">
        <f>M22+O22+Q22</f>
        <v>130</v>
      </c>
      <c r="L22" s="1313"/>
      <c r="M22" s="1313">
        <f>' POP. ALVO'!Z90</f>
        <v>60</v>
      </c>
      <c r="N22" s="1313"/>
      <c r="O22" s="1313">
        <f>' POP. ALVO'!Z91</f>
        <v>42</v>
      </c>
      <c r="P22" s="1313"/>
      <c r="Q22" s="1313">
        <f>' POP. ALVO'!Z92</f>
        <v>28</v>
      </c>
      <c r="R22" s="1313"/>
    </row>
    <row r="23" spans="2:30" ht="30" customHeight="1" x14ac:dyDescent="0.2">
      <c r="K23" s="236"/>
      <c r="L23" s="236"/>
      <c r="M23" s="236"/>
      <c r="N23" s="236"/>
      <c r="O23" s="236"/>
      <c r="P23" s="236"/>
      <c r="Q23" s="236"/>
      <c r="R23" s="236"/>
    </row>
    <row r="24" spans="2:30" ht="15" customHeight="1" x14ac:dyDescent="0.25">
      <c r="B24" s="245" t="s">
        <v>569</v>
      </c>
    </row>
    <row r="27" spans="2:30" s="3" customFormat="1" ht="15.75" x14ac:dyDescent="0.2">
      <c r="C27" s="4"/>
      <c r="D27" s="386"/>
      <c r="E27" s="386"/>
      <c r="F27" s="367" t="s">
        <v>143</v>
      </c>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row>
    <row r="28" spans="2:30" s="3" customFormat="1" ht="5.0999999999999996" customHeight="1" x14ac:dyDescent="0.2">
      <c r="C28" s="4"/>
    </row>
    <row r="29" spans="2:30" s="3" customFormat="1" ht="15.75" customHeight="1" x14ac:dyDescent="0.2">
      <c r="D29" s="11"/>
      <c r="E29" s="11"/>
      <c r="F29" s="817" t="s">
        <v>126</v>
      </c>
      <c r="G29" s="818"/>
      <c r="H29" s="818"/>
      <c r="I29" s="818"/>
      <c r="J29" s="818"/>
      <c r="K29" s="818"/>
      <c r="L29" s="818"/>
      <c r="M29" s="818"/>
      <c r="N29" s="818"/>
      <c r="O29" s="818"/>
      <c r="P29" s="818"/>
      <c r="Q29" s="818"/>
      <c r="R29" s="818"/>
      <c r="S29" s="818"/>
      <c r="T29" s="819"/>
      <c r="U29" s="20"/>
      <c r="V29" s="411" t="s">
        <v>638</v>
      </c>
      <c r="W29" s="411"/>
      <c r="X29" s="411"/>
      <c r="Y29" s="411"/>
      <c r="Z29" s="411"/>
      <c r="AA29" s="411"/>
      <c r="AB29" s="411"/>
      <c r="AC29" s="411"/>
      <c r="AD29" s="411"/>
    </row>
    <row r="30" spans="2:30" s="3" customFormat="1" ht="5.0999999999999996" customHeight="1" x14ac:dyDescent="0.2">
      <c r="C30" s="4"/>
      <c r="V30" s="27"/>
      <c r="W30" s="27"/>
      <c r="X30" s="27"/>
      <c r="Y30" s="27"/>
      <c r="Z30" s="27"/>
      <c r="AA30" s="27"/>
      <c r="AB30" s="27"/>
      <c r="AC30" s="27"/>
      <c r="AD30" s="27"/>
    </row>
    <row r="31" spans="2:30" s="3" customFormat="1" ht="21.95" customHeight="1" x14ac:dyDescent="0.2">
      <c r="D31" s="11"/>
      <c r="E31" s="11"/>
      <c r="F31" s="481" t="s">
        <v>347</v>
      </c>
      <c r="G31" s="482"/>
      <c r="H31" s="482"/>
      <c r="I31" s="483"/>
      <c r="J31" s="21"/>
      <c r="K31" s="481" t="s">
        <v>145</v>
      </c>
      <c r="L31" s="482"/>
      <c r="M31" s="482"/>
      <c r="N31" s="482"/>
      <c r="O31" s="482"/>
      <c r="P31" s="483"/>
      <c r="Q31" s="21"/>
      <c r="R31" s="1295" t="s">
        <v>775</v>
      </c>
      <c r="S31" s="1295"/>
      <c r="T31" s="1295"/>
      <c r="U31" s="22"/>
      <c r="V31" s="407">
        <v>1</v>
      </c>
      <c r="W31" s="408"/>
      <c r="X31" s="412" t="s">
        <v>146</v>
      </c>
      <c r="Y31" s="412"/>
      <c r="Z31" s="412"/>
      <c r="AA31" s="412"/>
      <c r="AB31" s="412"/>
      <c r="AC31" s="412"/>
      <c r="AD31" s="413"/>
    </row>
    <row r="32" spans="2:30" s="3" customFormat="1" ht="21.95" customHeight="1" x14ac:dyDescent="0.2">
      <c r="D32" s="11"/>
      <c r="E32" s="11"/>
      <c r="F32" s="490"/>
      <c r="G32" s="491"/>
      <c r="H32" s="491"/>
      <c r="I32" s="492"/>
      <c r="J32" s="21"/>
      <c r="K32" s="484"/>
      <c r="L32" s="485"/>
      <c r="M32" s="485"/>
      <c r="N32" s="485"/>
      <c r="O32" s="485"/>
      <c r="P32" s="486"/>
      <c r="Q32" s="21"/>
      <c r="R32" s="1295"/>
      <c r="S32" s="1295"/>
      <c r="T32" s="1295"/>
      <c r="U32" s="22"/>
      <c r="V32" s="407">
        <v>1</v>
      </c>
      <c r="W32" s="408"/>
      <c r="X32" s="412" t="s">
        <v>147</v>
      </c>
      <c r="Y32" s="412"/>
      <c r="Z32" s="412"/>
      <c r="AA32" s="412"/>
      <c r="AB32" s="412"/>
      <c r="AC32" s="412"/>
      <c r="AD32" s="413"/>
    </row>
    <row r="33" spans="3:30" s="3" customFormat="1" ht="21.95" customHeight="1" x14ac:dyDescent="0.2">
      <c r="D33" s="11"/>
      <c r="E33" s="11"/>
      <c r="F33" s="490"/>
      <c r="G33" s="491"/>
      <c r="H33" s="491"/>
      <c r="I33" s="492"/>
      <c r="J33" s="21"/>
      <c r="K33" s="481" t="s">
        <v>448</v>
      </c>
      <c r="L33" s="482"/>
      <c r="M33" s="482"/>
      <c r="N33" s="482"/>
      <c r="O33" s="482"/>
      <c r="P33" s="483"/>
      <c r="Q33" s="21"/>
      <c r="R33" s="1295"/>
      <c r="S33" s="1295"/>
      <c r="T33" s="1295"/>
      <c r="U33" s="22"/>
      <c r="V33" s="407">
        <v>1</v>
      </c>
      <c r="W33" s="408"/>
      <c r="X33" s="412" t="s">
        <v>148</v>
      </c>
      <c r="Y33" s="412"/>
      <c r="Z33" s="412"/>
      <c r="AA33" s="412"/>
      <c r="AB33" s="412"/>
      <c r="AC33" s="412"/>
      <c r="AD33" s="413"/>
    </row>
    <row r="34" spans="3:30" s="3" customFormat="1" ht="21.95" customHeight="1" x14ac:dyDescent="0.2">
      <c r="D34" s="11"/>
      <c r="E34" s="11"/>
      <c r="F34" s="490"/>
      <c r="G34" s="491"/>
      <c r="H34" s="491"/>
      <c r="I34" s="492"/>
      <c r="J34" s="21"/>
      <c r="K34" s="484"/>
      <c r="L34" s="485"/>
      <c r="M34" s="485"/>
      <c r="N34" s="485"/>
      <c r="O34" s="485"/>
      <c r="P34" s="486"/>
      <c r="Q34" s="21"/>
      <c r="R34" s="1295"/>
      <c r="S34" s="1295"/>
      <c r="T34" s="1295"/>
      <c r="U34" s="22"/>
      <c r="V34" s="407">
        <v>1</v>
      </c>
      <c r="W34" s="408"/>
      <c r="X34" s="412" t="s">
        <v>149</v>
      </c>
      <c r="Y34" s="412"/>
      <c r="Z34" s="412"/>
      <c r="AA34" s="412"/>
      <c r="AB34" s="412"/>
      <c r="AC34" s="412"/>
      <c r="AD34" s="413"/>
    </row>
    <row r="35" spans="3:30" s="3" customFormat="1" ht="21.95" customHeight="1" x14ac:dyDescent="0.2">
      <c r="D35" s="11"/>
      <c r="E35" s="11"/>
      <c r="F35" s="490"/>
      <c r="G35" s="491"/>
      <c r="H35" s="491"/>
      <c r="I35" s="492"/>
      <c r="K35" s="481" t="s">
        <v>375</v>
      </c>
      <c r="L35" s="482"/>
      <c r="M35" s="482"/>
      <c r="N35" s="482"/>
      <c r="O35" s="482"/>
      <c r="P35" s="483"/>
      <c r="R35" s="1295"/>
      <c r="S35" s="1295"/>
      <c r="T35" s="1295"/>
      <c r="V35" s="407">
        <v>1</v>
      </c>
      <c r="W35" s="408"/>
      <c r="X35" s="412" t="s">
        <v>148</v>
      </c>
      <c r="Y35" s="412"/>
      <c r="Z35" s="412"/>
      <c r="AA35" s="412"/>
      <c r="AB35" s="412"/>
      <c r="AC35" s="412"/>
      <c r="AD35" s="413"/>
    </row>
    <row r="36" spans="3:30" s="3" customFormat="1" ht="21.95" customHeight="1" x14ac:dyDescent="0.2">
      <c r="D36" s="11"/>
      <c r="E36" s="11"/>
      <c r="F36" s="490"/>
      <c r="G36" s="491"/>
      <c r="H36" s="491"/>
      <c r="I36" s="492"/>
      <c r="K36" s="484"/>
      <c r="L36" s="485"/>
      <c r="M36" s="485"/>
      <c r="N36" s="485"/>
      <c r="O36" s="485"/>
      <c r="P36" s="486"/>
      <c r="R36" s="1295"/>
      <c r="S36" s="1295"/>
      <c r="T36" s="1295"/>
      <c r="V36" s="407">
        <v>1</v>
      </c>
      <c r="W36" s="408"/>
      <c r="X36" s="412" t="s">
        <v>149</v>
      </c>
      <c r="Y36" s="412"/>
      <c r="Z36" s="412"/>
      <c r="AA36" s="412"/>
      <c r="AB36" s="412"/>
      <c r="AC36" s="412"/>
      <c r="AD36" s="413"/>
    </row>
    <row r="37" spans="3:30" s="3" customFormat="1" ht="55.5" customHeight="1" x14ac:dyDescent="0.2">
      <c r="C37" s="4"/>
      <c r="F37" s="490"/>
      <c r="G37" s="491"/>
      <c r="H37" s="491"/>
      <c r="I37" s="492"/>
      <c r="K37" s="476" t="s">
        <v>640</v>
      </c>
      <c r="L37" s="459"/>
      <c r="M37" s="459"/>
      <c r="N37" s="459"/>
      <c r="O37" s="459"/>
      <c r="P37" s="477"/>
      <c r="R37" s="1295"/>
      <c r="S37" s="1295"/>
      <c r="T37" s="1295"/>
      <c r="V37" s="407">
        <v>4</v>
      </c>
      <c r="W37" s="408"/>
      <c r="X37" s="412" t="s">
        <v>151</v>
      </c>
      <c r="Y37" s="412"/>
      <c r="Z37" s="412"/>
      <c r="AA37" s="412"/>
      <c r="AB37" s="412"/>
      <c r="AC37" s="412"/>
      <c r="AD37" s="413"/>
    </row>
    <row r="38" spans="3:30" s="3" customFormat="1" ht="44.1" customHeight="1" x14ac:dyDescent="0.2">
      <c r="C38" s="4"/>
      <c r="F38" s="490"/>
      <c r="G38" s="491"/>
      <c r="H38" s="491"/>
      <c r="I38" s="492"/>
      <c r="K38" s="476" t="s">
        <v>450</v>
      </c>
      <c r="L38" s="459"/>
      <c r="M38" s="459"/>
      <c r="N38" s="459"/>
      <c r="O38" s="459"/>
      <c r="P38" s="477"/>
      <c r="R38" s="1295"/>
      <c r="S38" s="1295"/>
      <c r="T38" s="1295"/>
      <c r="V38" s="407">
        <v>12</v>
      </c>
      <c r="W38" s="408"/>
      <c r="X38" s="412" t="s">
        <v>449</v>
      </c>
      <c r="Y38" s="412"/>
      <c r="Z38" s="412"/>
      <c r="AA38" s="412"/>
      <c r="AB38" s="412"/>
      <c r="AC38" s="412"/>
      <c r="AD38" s="413"/>
    </row>
    <row r="39" spans="3:30" s="3" customFormat="1" ht="39.950000000000003" customHeight="1" x14ac:dyDescent="0.2">
      <c r="C39" s="4"/>
      <c r="F39" s="490"/>
      <c r="G39" s="491"/>
      <c r="H39" s="491"/>
      <c r="I39" s="492"/>
      <c r="K39" s="476" t="s">
        <v>313</v>
      </c>
      <c r="L39" s="459"/>
      <c r="M39" s="459"/>
      <c r="N39" s="459"/>
      <c r="O39" s="459"/>
      <c r="P39" s="477"/>
      <c r="R39" s="1295"/>
      <c r="S39" s="1295"/>
      <c r="T39" s="1295"/>
      <c r="V39" s="407">
        <v>1</v>
      </c>
      <c r="W39" s="408"/>
      <c r="X39" s="412" t="s">
        <v>9</v>
      </c>
      <c r="Y39" s="412"/>
      <c r="Z39" s="412"/>
      <c r="AA39" s="412"/>
      <c r="AB39" s="412"/>
      <c r="AC39" s="412"/>
      <c r="AD39" s="413"/>
    </row>
    <row r="40" spans="3:30" s="3" customFormat="1" ht="45" customHeight="1" x14ac:dyDescent="0.2">
      <c r="C40" s="4"/>
      <c r="F40" s="783" t="s">
        <v>318</v>
      </c>
      <c r="G40" s="783"/>
      <c r="H40" s="783"/>
      <c r="I40" s="783"/>
      <c r="K40" s="476" t="s">
        <v>348</v>
      </c>
      <c r="L40" s="459"/>
      <c r="M40" s="459"/>
      <c r="N40" s="459"/>
      <c r="O40" s="459"/>
      <c r="P40" s="477"/>
      <c r="R40" s="1295"/>
      <c r="S40" s="1295"/>
      <c r="T40" s="1295"/>
      <c r="V40" s="424">
        <v>1</v>
      </c>
      <c r="W40" s="425"/>
      <c r="X40" s="412" t="s">
        <v>376</v>
      </c>
      <c r="Y40" s="412"/>
      <c r="Z40" s="412"/>
      <c r="AA40" s="412"/>
      <c r="AB40" s="412"/>
      <c r="AC40" s="412"/>
      <c r="AD40" s="413"/>
    </row>
    <row r="41" spans="3:30" s="3" customFormat="1" ht="30" customHeight="1" x14ac:dyDescent="0.2">
      <c r="C41" s="4"/>
      <c r="F41" s="783"/>
      <c r="G41" s="783"/>
      <c r="H41" s="783"/>
      <c r="I41" s="783"/>
      <c r="K41" s="476" t="s">
        <v>349</v>
      </c>
      <c r="L41" s="459"/>
      <c r="M41" s="459"/>
      <c r="N41" s="459"/>
      <c r="O41" s="459"/>
      <c r="P41" s="477"/>
      <c r="R41" s="1295"/>
      <c r="S41" s="1295"/>
      <c r="T41" s="1295"/>
      <c r="V41" s="424">
        <v>1</v>
      </c>
      <c r="W41" s="425"/>
      <c r="X41" s="412" t="s">
        <v>158</v>
      </c>
      <c r="Y41" s="412"/>
      <c r="Z41" s="412"/>
      <c r="AA41" s="412"/>
      <c r="AB41" s="412"/>
      <c r="AC41" s="412"/>
      <c r="AD41" s="413"/>
    </row>
    <row r="42" spans="3:30" s="3" customFormat="1" ht="50.25" customHeight="1" x14ac:dyDescent="0.2">
      <c r="C42" s="4"/>
      <c r="F42" s="783"/>
      <c r="G42" s="783"/>
      <c r="H42" s="783"/>
      <c r="I42" s="783"/>
      <c r="K42" s="476" t="s">
        <v>351</v>
      </c>
      <c r="L42" s="459"/>
      <c r="M42" s="459"/>
      <c r="N42" s="459"/>
      <c r="O42" s="459"/>
      <c r="P42" s="477"/>
      <c r="R42" s="1295"/>
      <c r="S42" s="1295"/>
      <c r="T42" s="1295"/>
      <c r="V42" s="424">
        <v>1</v>
      </c>
      <c r="W42" s="425"/>
      <c r="X42" s="412" t="s">
        <v>335</v>
      </c>
      <c r="Y42" s="412"/>
      <c r="Z42" s="412"/>
      <c r="AA42" s="412"/>
      <c r="AB42" s="412"/>
      <c r="AC42" s="412"/>
      <c r="AD42" s="413"/>
    </row>
    <row r="43" spans="3:30" s="3" customFormat="1" ht="44.25" customHeight="1" x14ac:dyDescent="0.2">
      <c r="C43" s="4"/>
      <c r="F43" s="783"/>
      <c r="G43" s="783"/>
      <c r="H43" s="783"/>
      <c r="I43" s="783"/>
      <c r="K43" s="476" t="s">
        <v>350</v>
      </c>
      <c r="L43" s="459"/>
      <c r="M43" s="459"/>
      <c r="N43" s="459"/>
      <c r="O43" s="459"/>
      <c r="P43" s="477"/>
      <c r="R43" s="1295"/>
      <c r="S43" s="1295"/>
      <c r="T43" s="1295"/>
      <c r="V43" s="424">
        <v>1</v>
      </c>
      <c r="W43" s="425"/>
      <c r="X43" s="412" t="s">
        <v>156</v>
      </c>
      <c r="Y43" s="412"/>
      <c r="Z43" s="412"/>
      <c r="AA43" s="412"/>
      <c r="AB43" s="412"/>
      <c r="AC43" s="412"/>
      <c r="AD43" s="413"/>
    </row>
    <row r="44" spans="3:30" s="3" customFormat="1" ht="44.25" customHeight="1" x14ac:dyDescent="0.2">
      <c r="C44" s="4"/>
      <c r="F44" s="783"/>
      <c r="G44" s="783"/>
      <c r="H44" s="783"/>
      <c r="I44" s="783"/>
      <c r="K44" s="476" t="s">
        <v>642</v>
      </c>
      <c r="L44" s="459"/>
      <c r="M44" s="459"/>
      <c r="N44" s="459"/>
      <c r="O44" s="459"/>
      <c r="P44" s="477"/>
      <c r="R44" s="1295"/>
      <c r="S44" s="1295"/>
      <c r="T44" s="1295"/>
      <c r="V44" s="424">
        <v>1</v>
      </c>
      <c r="W44" s="425"/>
      <c r="X44" s="412" t="s">
        <v>643</v>
      </c>
      <c r="Y44" s="412"/>
      <c r="Z44" s="412"/>
      <c r="AA44" s="412"/>
      <c r="AB44" s="412"/>
      <c r="AC44" s="412"/>
      <c r="AD44" s="413"/>
    </row>
    <row r="45" spans="3:30" s="3" customFormat="1" ht="44.25" customHeight="1" x14ac:dyDescent="0.2">
      <c r="C45" s="4"/>
      <c r="F45" s="783"/>
      <c r="G45" s="783"/>
      <c r="H45" s="783"/>
      <c r="I45" s="783"/>
      <c r="K45" s="476" t="s">
        <v>377</v>
      </c>
      <c r="L45" s="459"/>
      <c r="M45" s="459"/>
      <c r="N45" s="459"/>
      <c r="O45" s="459"/>
      <c r="P45" s="477"/>
      <c r="R45" s="1295"/>
      <c r="S45" s="1295"/>
      <c r="T45" s="1295"/>
      <c r="V45" s="424">
        <v>1</v>
      </c>
      <c r="W45" s="425"/>
      <c r="X45" s="412" t="s">
        <v>378</v>
      </c>
      <c r="Y45" s="412"/>
      <c r="Z45" s="412"/>
      <c r="AA45" s="412"/>
      <c r="AB45" s="412"/>
      <c r="AC45" s="412"/>
      <c r="AD45" s="413"/>
    </row>
    <row r="46" spans="3:30" s="3" customFormat="1" ht="10.5" customHeight="1" x14ac:dyDescent="0.2">
      <c r="C46" s="4"/>
      <c r="V46" s="426" t="s">
        <v>303</v>
      </c>
      <c r="W46" s="426"/>
      <c r="X46" s="426"/>
      <c r="Y46" s="426"/>
      <c r="Z46" s="426"/>
      <c r="AA46" s="426"/>
      <c r="AB46" s="426"/>
      <c r="AC46" s="426"/>
      <c r="AD46" s="426"/>
    </row>
    <row r="47" spans="3:30" s="3" customFormat="1" ht="15.75" x14ac:dyDescent="0.2">
      <c r="C47" s="4"/>
      <c r="V47" s="426"/>
      <c r="W47" s="426"/>
      <c r="X47" s="426"/>
      <c r="Y47" s="426"/>
      <c r="Z47" s="426"/>
      <c r="AA47" s="426"/>
      <c r="AB47" s="426"/>
      <c r="AC47" s="426"/>
      <c r="AD47" s="426"/>
    </row>
    <row r="48" spans="3:30" s="3" customFormat="1" ht="15.75" x14ac:dyDescent="0.2">
      <c r="C48" s="4"/>
      <c r="V48" s="426"/>
      <c r="W48" s="426"/>
      <c r="X48" s="426"/>
      <c r="Y48" s="426"/>
      <c r="Z48" s="426"/>
      <c r="AA48" s="426"/>
      <c r="AB48" s="426"/>
      <c r="AC48" s="426"/>
      <c r="AD48" s="426"/>
    </row>
    <row r="49" spans="3:30" s="3" customFormat="1" ht="15.75" x14ac:dyDescent="0.2">
      <c r="C49" s="4"/>
      <c r="V49" s="31"/>
      <c r="W49" s="31"/>
      <c r="X49" s="31"/>
      <c r="Y49" s="31"/>
      <c r="Z49" s="31"/>
      <c r="AA49" s="31"/>
      <c r="AB49" s="31"/>
      <c r="AC49" s="31"/>
      <c r="AD49" s="31"/>
    </row>
    <row r="50" spans="3:30" s="3" customFormat="1" ht="15.75" x14ac:dyDescent="0.2">
      <c r="C50" s="4"/>
      <c r="D50" s="386"/>
      <c r="E50" s="386"/>
      <c r="F50" s="367" t="s">
        <v>166</v>
      </c>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row>
    <row r="51" spans="3:30" s="3" customFormat="1" ht="5.0999999999999996" customHeight="1" x14ac:dyDescent="0.2">
      <c r="C51" s="4"/>
    </row>
    <row r="52" spans="3:30" s="3" customFormat="1" ht="64.5" customHeight="1" x14ac:dyDescent="0.2">
      <c r="C52" s="4"/>
      <c r="F52" s="509" t="s">
        <v>167</v>
      </c>
      <c r="G52" s="509"/>
      <c r="H52" s="509"/>
      <c r="I52" s="509"/>
      <c r="K52" s="476" t="s">
        <v>352</v>
      </c>
      <c r="L52" s="459"/>
      <c r="M52" s="459"/>
      <c r="N52" s="459"/>
      <c r="O52" s="459"/>
      <c r="P52" s="477"/>
      <c r="R52" s="1314" t="s">
        <v>374</v>
      </c>
      <c r="S52" s="1315"/>
      <c r="T52" s="1315"/>
      <c r="V52" s="887">
        <v>1</v>
      </c>
      <c r="W52" s="888"/>
      <c r="X52" s="409" t="s">
        <v>353</v>
      </c>
      <c r="Y52" s="409"/>
      <c r="Z52" s="409"/>
      <c r="AA52" s="409"/>
      <c r="AB52" s="409"/>
      <c r="AC52" s="409"/>
      <c r="AD52" s="410"/>
    </row>
    <row r="53" spans="3:30" s="3" customFormat="1" ht="20.100000000000001" customHeight="1" x14ac:dyDescent="0.2">
      <c r="C53" s="4"/>
      <c r="V53" s="426" t="s">
        <v>133</v>
      </c>
      <c r="W53" s="426"/>
      <c r="X53" s="426"/>
      <c r="Y53" s="426"/>
      <c r="Z53" s="426"/>
      <c r="AA53" s="426"/>
      <c r="AB53" s="426"/>
      <c r="AC53" s="426"/>
      <c r="AD53" s="426"/>
    </row>
    <row r="54" spans="3:30" s="3" customFormat="1" ht="20.100000000000001" customHeight="1" x14ac:dyDescent="0.2">
      <c r="C54" s="4"/>
      <c r="V54" s="426"/>
      <c r="W54" s="426"/>
      <c r="X54" s="426"/>
      <c r="Y54" s="426"/>
      <c r="Z54" s="426"/>
      <c r="AA54" s="426"/>
      <c r="AB54" s="426"/>
      <c r="AC54" s="426"/>
      <c r="AD54" s="426"/>
    </row>
    <row r="55" spans="3:30" s="3" customFormat="1" ht="15.75" x14ac:dyDescent="0.2">
      <c r="C55" s="4"/>
      <c r="V55" s="31"/>
      <c r="W55" s="31"/>
      <c r="X55" s="31"/>
      <c r="Y55" s="31"/>
      <c r="Z55" s="31"/>
      <c r="AA55" s="31"/>
      <c r="AB55" s="31"/>
      <c r="AC55" s="31"/>
      <c r="AD55" s="31"/>
    </row>
    <row r="56" spans="3:30" s="3" customFormat="1" ht="15.75" x14ac:dyDescent="0.2">
      <c r="C56" s="4"/>
      <c r="D56" s="386"/>
      <c r="E56" s="386"/>
      <c r="F56" s="367" t="s">
        <v>169</v>
      </c>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row>
    <row r="57" spans="3:30" s="3" customFormat="1" ht="5.0999999999999996" customHeight="1" x14ac:dyDescent="0.2">
      <c r="C57" s="4"/>
    </row>
    <row r="58" spans="3:30" s="3" customFormat="1" ht="22.5" customHeight="1" x14ac:dyDescent="0.2">
      <c r="D58" s="18"/>
      <c r="E58" s="18"/>
      <c r="F58" s="744" t="s">
        <v>170</v>
      </c>
      <c r="G58" s="744"/>
      <c r="H58" s="744"/>
      <c r="J58" s="1307" t="s">
        <v>68</v>
      </c>
      <c r="K58" s="1308"/>
      <c r="L58" s="1308"/>
      <c r="M58" s="1308"/>
      <c r="N58" s="1308"/>
      <c r="O58" s="1309"/>
      <c r="P58" s="39">
        <v>1</v>
      </c>
      <c r="Q58" s="1208" t="s">
        <v>328</v>
      </c>
      <c r="R58" s="1208"/>
      <c r="S58" s="1209"/>
      <c r="U58" s="744" t="s">
        <v>379</v>
      </c>
      <c r="V58" s="744"/>
      <c r="W58" s="7"/>
      <c r="X58" s="273">
        <v>1</v>
      </c>
      <c r="Y58" s="1210" t="s">
        <v>328</v>
      </c>
      <c r="Z58" s="1211"/>
      <c r="AA58" s="1211"/>
      <c r="AB58" s="1211"/>
      <c r="AC58" s="7"/>
      <c r="AD58" s="7"/>
    </row>
    <row r="59" spans="3:30" s="3" customFormat="1" ht="23.1" customHeight="1" x14ac:dyDescent="0.2">
      <c r="D59" s="18"/>
      <c r="E59" s="18"/>
      <c r="F59" s="744"/>
      <c r="G59" s="744"/>
      <c r="H59" s="744"/>
      <c r="J59" s="1307" t="s">
        <v>74</v>
      </c>
      <c r="K59" s="1308"/>
      <c r="L59" s="1308"/>
      <c r="M59" s="1308"/>
      <c r="N59" s="1308"/>
      <c r="O59" s="1309"/>
      <c r="P59" s="39">
        <v>1</v>
      </c>
      <c r="Q59" s="1208" t="s">
        <v>328</v>
      </c>
      <c r="R59" s="1208"/>
      <c r="S59" s="1209"/>
      <c r="U59" s="744"/>
      <c r="V59" s="744"/>
      <c r="W59" s="7"/>
      <c r="X59" s="273">
        <v>1</v>
      </c>
      <c r="Y59" s="1210" t="s">
        <v>328</v>
      </c>
      <c r="Z59" s="1211"/>
      <c r="AA59" s="1211"/>
      <c r="AB59" s="1211"/>
      <c r="AC59" s="7"/>
      <c r="AD59" s="7"/>
    </row>
    <row r="60" spans="3:30" s="3" customFormat="1" ht="27" customHeight="1" x14ac:dyDescent="0.2">
      <c r="D60" s="18"/>
      <c r="E60" s="18"/>
      <c r="F60" s="744"/>
      <c r="G60" s="744"/>
      <c r="H60" s="744"/>
      <c r="I60" s="7"/>
      <c r="J60" s="1307" t="s">
        <v>644</v>
      </c>
      <c r="K60" s="1308"/>
      <c r="L60" s="1308"/>
      <c r="M60" s="1308"/>
      <c r="N60" s="1308"/>
      <c r="O60" s="1309"/>
      <c r="P60" s="43">
        <v>1</v>
      </c>
      <c r="Q60" s="1208" t="s">
        <v>381</v>
      </c>
      <c r="R60" s="1208"/>
      <c r="S60" s="1209"/>
      <c r="U60" s="744"/>
      <c r="V60" s="744"/>
      <c r="W60" s="7"/>
      <c r="X60" s="273">
        <v>1</v>
      </c>
      <c r="Y60" s="1210" t="s">
        <v>381</v>
      </c>
      <c r="Z60" s="1211"/>
      <c r="AA60" s="1211"/>
      <c r="AB60" s="1211"/>
      <c r="AC60" s="7"/>
      <c r="AD60" s="7"/>
    </row>
    <row r="61" spans="3:30" s="3" customFormat="1" ht="30" customHeight="1" x14ac:dyDescent="0.2">
      <c r="D61" s="18"/>
      <c r="E61" s="18"/>
      <c r="F61" s="744"/>
      <c r="G61" s="744"/>
      <c r="H61" s="744"/>
      <c r="I61" s="7"/>
      <c r="J61" s="1307" t="s">
        <v>645</v>
      </c>
      <c r="K61" s="1308"/>
      <c r="L61" s="1308"/>
      <c r="M61" s="1308"/>
      <c r="N61" s="1308"/>
      <c r="O61" s="1309"/>
      <c r="P61" s="43">
        <v>1</v>
      </c>
      <c r="Q61" s="1208" t="s">
        <v>381</v>
      </c>
      <c r="R61" s="1208"/>
      <c r="S61" s="1209"/>
      <c r="U61" s="744"/>
      <c r="V61" s="744"/>
      <c r="W61" s="7"/>
      <c r="X61" s="273">
        <v>1</v>
      </c>
      <c r="Y61" s="1210" t="s">
        <v>381</v>
      </c>
      <c r="Z61" s="1211"/>
      <c r="AA61" s="1211"/>
      <c r="AB61" s="1211"/>
      <c r="AC61" s="7"/>
      <c r="AD61" s="7"/>
    </row>
    <row r="62" spans="3:30" s="3" customFormat="1" ht="33" customHeight="1" x14ac:dyDescent="0.2">
      <c r="D62" s="18"/>
      <c r="E62" s="18"/>
      <c r="F62" s="744"/>
      <c r="G62" s="744"/>
      <c r="H62" s="744"/>
      <c r="I62" s="7"/>
      <c r="J62" s="1307" t="s">
        <v>380</v>
      </c>
      <c r="K62" s="1308"/>
      <c r="L62" s="1308"/>
      <c r="M62" s="1308"/>
      <c r="N62" s="1308"/>
      <c r="O62" s="1309"/>
      <c r="P62" s="39">
        <v>1</v>
      </c>
      <c r="Q62" s="1208" t="s">
        <v>382</v>
      </c>
      <c r="R62" s="1208"/>
      <c r="S62" s="1209"/>
      <c r="U62" s="744"/>
      <c r="V62" s="744"/>
      <c r="W62" s="36"/>
      <c r="X62" s="273">
        <v>1</v>
      </c>
      <c r="Y62" s="1210" t="s">
        <v>382</v>
      </c>
      <c r="Z62" s="1211"/>
      <c r="AA62" s="1211"/>
      <c r="AB62" s="1211"/>
      <c r="AC62" s="7"/>
      <c r="AD62" s="7"/>
    </row>
    <row r="63" spans="3:30" s="3" customFormat="1" ht="40.5" customHeight="1" x14ac:dyDescent="0.2">
      <c r="D63" s="18"/>
      <c r="E63" s="18"/>
      <c r="F63" s="744"/>
      <c r="G63" s="744"/>
      <c r="H63" s="744"/>
      <c r="I63" s="7"/>
      <c r="J63" s="1307" t="s">
        <v>98</v>
      </c>
      <c r="K63" s="1308"/>
      <c r="L63" s="1308"/>
      <c r="M63" s="1308"/>
      <c r="N63" s="1308"/>
      <c r="O63" s="1309"/>
      <c r="P63" s="40">
        <v>1</v>
      </c>
      <c r="Q63" s="680" t="s">
        <v>383</v>
      </c>
      <c r="R63" s="680"/>
      <c r="S63" s="681"/>
      <c r="U63" s="744"/>
      <c r="V63" s="744"/>
      <c r="W63" s="36"/>
      <c r="X63" s="273">
        <v>1</v>
      </c>
      <c r="Y63" s="1210" t="s">
        <v>383</v>
      </c>
      <c r="Z63" s="1211"/>
      <c r="AA63" s="1211"/>
      <c r="AB63" s="1211"/>
      <c r="AC63" s="7"/>
      <c r="AD63" s="7"/>
    </row>
    <row r="64" spans="3:30" s="3" customFormat="1" ht="23.1" customHeight="1" x14ac:dyDescent="0.2">
      <c r="D64" s="18"/>
      <c r="E64" s="18"/>
      <c r="F64" s="744"/>
      <c r="G64" s="744"/>
      <c r="H64" s="744"/>
      <c r="I64" s="7"/>
      <c r="J64" s="1307" t="s">
        <v>384</v>
      </c>
      <c r="K64" s="1308"/>
      <c r="L64" s="1308"/>
      <c r="M64" s="1308"/>
      <c r="N64" s="1308"/>
      <c r="O64" s="1309"/>
      <c r="P64" s="40">
        <v>1</v>
      </c>
      <c r="Q64" s="1208" t="s">
        <v>381</v>
      </c>
      <c r="R64" s="1208"/>
      <c r="S64" s="1209"/>
      <c r="U64" s="744"/>
      <c r="V64" s="744"/>
      <c r="W64" s="36"/>
      <c r="X64" s="273">
        <v>1</v>
      </c>
      <c r="Y64" s="1210" t="s">
        <v>381</v>
      </c>
      <c r="Z64" s="1211"/>
      <c r="AA64" s="1211"/>
      <c r="AB64" s="1211"/>
      <c r="AC64" s="7"/>
      <c r="AD64" s="7"/>
    </row>
    <row r="65" spans="4:32" s="3" customFormat="1" ht="60" customHeight="1" x14ac:dyDescent="0.2">
      <c r="D65" s="18"/>
      <c r="E65" s="18"/>
      <c r="F65" s="744"/>
      <c r="G65" s="744"/>
      <c r="H65" s="744"/>
      <c r="I65" s="7"/>
      <c r="J65" s="1307" t="s">
        <v>385</v>
      </c>
      <c r="K65" s="1308"/>
      <c r="L65" s="1308"/>
      <c r="M65" s="1308"/>
      <c r="N65" s="1308"/>
      <c r="O65" s="1309"/>
      <c r="P65" s="39">
        <v>1</v>
      </c>
      <c r="Q65" s="1208" t="s">
        <v>388</v>
      </c>
      <c r="R65" s="1208"/>
      <c r="S65" s="1209"/>
      <c r="U65" s="744"/>
      <c r="V65" s="744"/>
      <c r="W65" s="36"/>
      <c r="X65" s="273">
        <v>1</v>
      </c>
      <c r="Y65" s="1210" t="s">
        <v>388</v>
      </c>
      <c r="Z65" s="1211"/>
      <c r="AA65" s="1211"/>
      <c r="AB65" s="1211"/>
      <c r="AC65" s="7"/>
      <c r="AD65" s="7"/>
    </row>
    <row r="66" spans="4:32" s="3" customFormat="1" ht="60" customHeight="1" x14ac:dyDescent="0.2">
      <c r="D66" s="18"/>
      <c r="E66" s="18"/>
      <c r="F66" s="744"/>
      <c r="G66" s="744"/>
      <c r="H66" s="744"/>
      <c r="I66" s="7"/>
      <c r="J66" s="1310" t="s">
        <v>386</v>
      </c>
      <c r="K66" s="1311"/>
      <c r="L66" s="1311"/>
      <c r="M66" s="1311"/>
      <c r="N66" s="1311"/>
      <c r="O66" s="1312"/>
      <c r="P66" s="43">
        <v>1</v>
      </c>
      <c r="Q66" s="1208" t="s">
        <v>387</v>
      </c>
      <c r="R66" s="1208"/>
      <c r="S66" s="1209"/>
      <c r="U66" s="744"/>
      <c r="V66" s="744"/>
      <c r="W66" s="36"/>
      <c r="X66" s="273">
        <v>1</v>
      </c>
      <c r="Y66" s="1210" t="s">
        <v>387</v>
      </c>
      <c r="Z66" s="1211"/>
      <c r="AA66" s="1211"/>
      <c r="AB66" s="1211"/>
      <c r="AC66" s="7"/>
      <c r="AD66" s="7"/>
    </row>
    <row r="67" spans="4:32" s="3" customFormat="1" ht="7.5" customHeight="1" x14ac:dyDescent="0.2">
      <c r="D67" s="18"/>
      <c r="E67" s="18"/>
      <c r="F67" s="7"/>
      <c r="G67" s="7"/>
      <c r="H67" s="7"/>
      <c r="I67" s="7"/>
      <c r="J67" s="7"/>
      <c r="K67" s="7"/>
      <c r="L67" s="7"/>
      <c r="M67" s="7"/>
      <c r="N67" s="7"/>
      <c r="O67" s="7"/>
      <c r="P67" s="7"/>
      <c r="Q67" s="7"/>
      <c r="R67" s="7"/>
      <c r="S67" s="7"/>
      <c r="T67" s="7"/>
      <c r="U67" s="7"/>
      <c r="V67" s="7"/>
      <c r="W67" s="7"/>
      <c r="X67" s="7"/>
      <c r="Y67" s="7"/>
      <c r="Z67" s="7"/>
      <c r="AA67" s="7"/>
      <c r="AB67" s="7"/>
      <c r="AC67" s="7"/>
      <c r="AD67" s="7"/>
    </row>
    <row r="68" spans="4:32" s="3" customFormat="1" ht="15.75" customHeight="1" x14ac:dyDescent="0.2">
      <c r="D68" s="18"/>
      <c r="E68" s="18"/>
      <c r="F68" s="7"/>
      <c r="G68" s="7"/>
      <c r="H68" s="7"/>
      <c r="I68" s="7"/>
      <c r="J68" s="22"/>
      <c r="K68" s="7"/>
      <c r="L68" s="7"/>
      <c r="M68" s="7"/>
      <c r="N68" s="7"/>
      <c r="O68" s="7"/>
      <c r="P68" s="7"/>
      <c r="Q68" s="7"/>
      <c r="R68" s="7"/>
      <c r="S68" s="7"/>
      <c r="T68" s="7"/>
      <c r="U68" s="7"/>
      <c r="V68" s="7"/>
      <c r="W68" s="7"/>
      <c r="X68" s="1151" t="s">
        <v>133</v>
      </c>
      <c r="Y68" s="1151"/>
      <c r="Z68" s="1151"/>
      <c r="AA68" s="1151"/>
      <c r="AB68" s="1151"/>
      <c r="AC68" s="1151"/>
      <c r="AD68" s="1151"/>
      <c r="AE68" s="37"/>
      <c r="AF68" s="37"/>
    </row>
    <row r="69" spans="4:32" s="3" customFormat="1" ht="15.75" customHeight="1" x14ac:dyDescent="0.2">
      <c r="D69" s="18"/>
      <c r="E69" s="18"/>
      <c r="F69" s="7"/>
      <c r="G69" s="7"/>
      <c r="H69" s="7"/>
      <c r="I69" s="7"/>
      <c r="J69" s="22"/>
      <c r="K69" s="7"/>
      <c r="L69" s="7"/>
      <c r="M69" s="7"/>
      <c r="N69" s="7"/>
      <c r="O69" s="7"/>
      <c r="P69" s="7"/>
      <c r="Q69" s="7"/>
      <c r="R69" s="7"/>
      <c r="S69" s="7"/>
      <c r="T69" s="7"/>
      <c r="U69" s="7"/>
      <c r="V69" s="7"/>
      <c r="W69" s="7"/>
      <c r="X69" s="1151"/>
      <c r="Y69" s="1151"/>
      <c r="Z69" s="1151"/>
      <c r="AA69" s="1151"/>
      <c r="AB69" s="1151"/>
      <c r="AC69" s="1151"/>
      <c r="AD69" s="1151"/>
      <c r="AE69" s="37"/>
      <c r="AF69" s="37"/>
    </row>
    <row r="70" spans="4:32" s="3" customFormat="1" ht="7.5" customHeight="1" x14ac:dyDescent="0.2">
      <c r="D70" s="18"/>
      <c r="E70" s="18"/>
      <c r="F70" s="7"/>
      <c r="G70" s="7"/>
      <c r="H70" s="7"/>
      <c r="I70" s="7"/>
      <c r="J70" s="38"/>
      <c r="K70" s="7"/>
      <c r="L70" s="7"/>
      <c r="M70" s="7"/>
      <c r="N70" s="7"/>
      <c r="O70" s="7"/>
      <c r="P70" s="7"/>
      <c r="Q70" s="7"/>
      <c r="R70" s="7"/>
      <c r="S70" s="7"/>
      <c r="T70" s="7"/>
      <c r="U70" s="7"/>
      <c r="V70" s="7"/>
      <c r="W70" s="7"/>
      <c r="X70" s="1151"/>
      <c r="Y70" s="1151"/>
      <c r="Z70" s="1151"/>
      <c r="AA70" s="1151"/>
      <c r="AB70" s="1151"/>
      <c r="AC70" s="1151"/>
      <c r="AD70" s="1151"/>
    </row>
  </sheetData>
  <sheetProtection sheet="1"/>
  <mergeCells count="152">
    <mergeCell ref="C2:H2"/>
    <mergeCell ref="J2:O2"/>
    <mergeCell ref="Q2:V2"/>
    <mergeCell ref="X2:AC2"/>
    <mergeCell ref="U13:V13"/>
    <mergeCell ref="AA11:AB11"/>
    <mergeCell ref="B11:E11"/>
    <mergeCell ref="B12:E12"/>
    <mergeCell ref="B9:L9"/>
    <mergeCell ref="N13:O13"/>
    <mergeCell ref="N12:O12"/>
    <mergeCell ref="N9:S9"/>
    <mergeCell ref="P11:S11"/>
    <mergeCell ref="P12:S12"/>
    <mergeCell ref="AD9:AE9"/>
    <mergeCell ref="AA9:AB9"/>
    <mergeCell ref="AA13:AB13"/>
    <mergeCell ref="U9:V9"/>
    <mergeCell ref="X9:Y9"/>
    <mergeCell ref="U11:V11"/>
    <mergeCell ref="X11:Y11"/>
    <mergeCell ref="X12:Y12"/>
    <mergeCell ref="X13:Y13"/>
    <mergeCell ref="U12:V12"/>
    <mergeCell ref="AA12:AB12"/>
    <mergeCell ref="AD11:AE11"/>
    <mergeCell ref="AD12:AE12"/>
    <mergeCell ref="AD13:AE13"/>
    <mergeCell ref="B14:E14"/>
    <mergeCell ref="B15:E15"/>
    <mergeCell ref="P16:S16"/>
    <mergeCell ref="G14:L14"/>
    <mergeCell ref="G15:L15"/>
    <mergeCell ref="P15:S15"/>
    <mergeCell ref="N14:O14"/>
    <mergeCell ref="B13:E13"/>
    <mergeCell ref="G11:L11"/>
    <mergeCell ref="G12:L12"/>
    <mergeCell ref="G13:L13"/>
    <mergeCell ref="D27:E27"/>
    <mergeCell ref="F27:AD27"/>
    <mergeCell ref="B17:L18"/>
    <mergeCell ref="V17:AD17"/>
    <mergeCell ref="N15:O15"/>
    <mergeCell ref="N16:O16"/>
    <mergeCell ref="G16:L16"/>
    <mergeCell ref="K20:R20"/>
    <mergeCell ref="K21:L21"/>
    <mergeCell ref="M21:N21"/>
    <mergeCell ref="B16:E16"/>
    <mergeCell ref="G20:H21"/>
    <mergeCell ref="O21:P21"/>
    <mergeCell ref="Q21:R21"/>
    <mergeCell ref="K22:L22"/>
    <mergeCell ref="F29:T29"/>
    <mergeCell ref="V29:AD29"/>
    <mergeCell ref="F31:I39"/>
    <mergeCell ref="K31:P32"/>
    <mergeCell ref="R31:T45"/>
    <mergeCell ref="V31:W31"/>
    <mergeCell ref="X31:AD31"/>
    <mergeCell ref="V32:W32"/>
    <mergeCell ref="X32:AD32"/>
    <mergeCell ref="K33:P34"/>
    <mergeCell ref="K37:P37"/>
    <mergeCell ref="V37:W37"/>
    <mergeCell ref="X37:AD37"/>
    <mergeCell ref="K38:P38"/>
    <mergeCell ref="V38:W38"/>
    <mergeCell ref="X38:AD38"/>
    <mergeCell ref="X33:AD33"/>
    <mergeCell ref="V34:W34"/>
    <mergeCell ref="X34:AD34"/>
    <mergeCell ref="K35:P36"/>
    <mergeCell ref="V35:W35"/>
    <mergeCell ref="X35:AD35"/>
    <mergeCell ref="V36:W36"/>
    <mergeCell ref="X36:AD36"/>
    <mergeCell ref="K39:P39"/>
    <mergeCell ref="V39:W39"/>
    <mergeCell ref="X39:AD39"/>
    <mergeCell ref="F40:I45"/>
    <mergeCell ref="K40:P40"/>
    <mergeCell ref="V40:W40"/>
    <mergeCell ref="X40:AD40"/>
    <mergeCell ref="K41:P41"/>
    <mergeCell ref="V41:W41"/>
    <mergeCell ref="X41:AD41"/>
    <mergeCell ref="D56:E56"/>
    <mergeCell ref="F56:AC56"/>
    <mergeCell ref="M22:N22"/>
    <mergeCell ref="O22:P22"/>
    <mergeCell ref="Q22:R22"/>
    <mergeCell ref="F52:I52"/>
    <mergeCell ref="K52:P52"/>
    <mergeCell ref="R52:T52"/>
    <mergeCell ref="V52:W52"/>
    <mergeCell ref="X52:AD52"/>
    <mergeCell ref="D50:E50"/>
    <mergeCell ref="F50:AD50"/>
    <mergeCell ref="K44:P44"/>
    <mergeCell ref="V44:W44"/>
    <mergeCell ref="X44:AD44"/>
    <mergeCell ref="K45:P45"/>
    <mergeCell ref="V45:W45"/>
    <mergeCell ref="X45:AD45"/>
    <mergeCell ref="K42:P42"/>
    <mergeCell ref="V42:W42"/>
    <mergeCell ref="X42:AD42"/>
    <mergeCell ref="K43:P43"/>
    <mergeCell ref="V43:W43"/>
    <mergeCell ref="X43:AD43"/>
    <mergeCell ref="F58:H66"/>
    <mergeCell ref="J58:O58"/>
    <mergeCell ref="Q58:S58"/>
    <mergeCell ref="U58:V66"/>
    <mergeCell ref="Y58:AB58"/>
    <mergeCell ref="J59:O59"/>
    <mergeCell ref="Q59:S59"/>
    <mergeCell ref="Y59:AB59"/>
    <mergeCell ref="J60:O60"/>
    <mergeCell ref="Q60:S60"/>
    <mergeCell ref="J61:O61"/>
    <mergeCell ref="Q61:S61"/>
    <mergeCell ref="Y61:AB61"/>
    <mergeCell ref="J62:O62"/>
    <mergeCell ref="Q62:S62"/>
    <mergeCell ref="Y62:AB62"/>
    <mergeCell ref="U14:V14"/>
    <mergeCell ref="U15:V15"/>
    <mergeCell ref="U16:V16"/>
    <mergeCell ref="N11:O11"/>
    <mergeCell ref="P13:S13"/>
    <mergeCell ref="P14:S14"/>
    <mergeCell ref="G22:H22"/>
    <mergeCell ref="X68:AD70"/>
    <mergeCell ref="Y60:AB60"/>
    <mergeCell ref="V53:AD54"/>
    <mergeCell ref="V46:AD48"/>
    <mergeCell ref="V33:W33"/>
    <mergeCell ref="J65:O65"/>
    <mergeCell ref="Q65:S65"/>
    <mergeCell ref="Y65:AB65"/>
    <mergeCell ref="J66:O66"/>
    <mergeCell ref="Q66:S66"/>
    <mergeCell ref="Y66:AB66"/>
    <mergeCell ref="J63:O63"/>
    <mergeCell ref="Q63:S63"/>
    <mergeCell ref="Y63:AB63"/>
    <mergeCell ref="J64:O64"/>
    <mergeCell ref="Q64:S64"/>
    <mergeCell ref="Y64:AB64"/>
  </mergeCells>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2"/>
  <dimension ref="A2:AE47"/>
  <sheetViews>
    <sheetView topLeftCell="A27" workbookViewId="0">
      <selection activeCell="A27" sqref="A1:IV65536"/>
    </sheetView>
  </sheetViews>
  <sheetFormatPr defaultColWidth="5.125" defaultRowHeight="14.25" x14ac:dyDescent="0.2"/>
  <cols>
    <col min="1" max="1" width="4.625" style="243" customWidth="1"/>
    <col min="2" max="5" width="5.125" style="243" customWidth="1"/>
    <col min="6" max="6" width="2.625" style="243" customWidth="1"/>
    <col min="7" max="12" width="5.125" style="243" customWidth="1"/>
    <col min="13" max="13" width="2.625" style="243" customWidth="1"/>
    <col min="14" max="19" width="5.125" style="243" customWidth="1"/>
    <col min="20" max="20" width="2.625" style="243" customWidth="1"/>
    <col min="21" max="22" width="5.125" style="243" customWidth="1"/>
    <col min="23" max="23" width="2.625" style="243" customWidth="1"/>
    <col min="24" max="25" width="6.875" style="243" customWidth="1"/>
    <col min="26" max="26" width="2.625" style="243" customWidth="1"/>
    <col min="27" max="28" width="5.125" style="243" customWidth="1"/>
    <col min="29" max="29" width="2.625" style="243" customWidth="1"/>
    <col min="30" max="16384" width="5.125" style="243"/>
  </cols>
  <sheetData>
    <row r="2" spans="2:31"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139"/>
      <c r="AD2" s="190"/>
      <c r="AE2" s="191"/>
    </row>
    <row r="4" spans="2:31" ht="15" x14ac:dyDescent="0.25">
      <c r="B4" s="245" t="s">
        <v>287</v>
      </c>
    </row>
    <row r="5" spans="2:31" ht="15" x14ac:dyDescent="0.25">
      <c r="B5" s="245"/>
    </row>
    <row r="6" spans="2:31" ht="15" customHeight="1" x14ac:dyDescent="0.25">
      <c r="B6" s="245" t="s">
        <v>567</v>
      </c>
    </row>
    <row r="7" spans="2:31" ht="15" x14ac:dyDescent="0.25">
      <c r="B7" s="245"/>
    </row>
    <row r="8" spans="2:31" ht="7.5" customHeight="1" x14ac:dyDescent="0.25">
      <c r="B8" s="245"/>
    </row>
    <row r="9" spans="2:31" s="16" customFormat="1" ht="27.75" customHeight="1" x14ac:dyDescent="0.2">
      <c r="B9" s="709" t="s">
        <v>581</v>
      </c>
      <c r="C9" s="710"/>
      <c r="D9" s="710"/>
      <c r="E9" s="710"/>
      <c r="F9" s="710"/>
      <c r="G9" s="710"/>
      <c r="H9" s="710"/>
      <c r="I9" s="710"/>
      <c r="J9" s="710"/>
      <c r="K9" s="710"/>
      <c r="L9" s="711"/>
      <c r="M9" s="189"/>
      <c r="N9" s="1330" t="s">
        <v>580</v>
      </c>
      <c r="O9" s="1331"/>
      <c r="P9" s="1331"/>
      <c r="Q9" s="1331"/>
      <c r="R9" s="1331"/>
      <c r="S9" s="1332"/>
      <c r="T9" s="189"/>
      <c r="U9" s="692" t="s">
        <v>546</v>
      </c>
      <c r="V9" s="692"/>
      <c r="X9" s="793" t="s">
        <v>547</v>
      </c>
      <c r="Y9" s="794"/>
      <c r="Z9" s="49"/>
      <c r="AA9" s="793" t="s">
        <v>545</v>
      </c>
      <c r="AB9" s="794"/>
      <c r="AD9" s="838" t="s">
        <v>544</v>
      </c>
      <c r="AE9" s="838"/>
    </row>
    <row r="10" spans="2:31" ht="7.5" customHeight="1" x14ac:dyDescent="0.25">
      <c r="B10" s="245"/>
    </row>
    <row r="11" spans="2:31" ht="50.1" customHeight="1" x14ac:dyDescent="0.2">
      <c r="B11" s="509" t="s">
        <v>288</v>
      </c>
      <c r="C11" s="509"/>
      <c r="D11" s="509"/>
      <c r="E11" s="509"/>
      <c r="G11" s="509" t="s">
        <v>361</v>
      </c>
      <c r="H11" s="509"/>
      <c r="I11" s="509"/>
      <c r="J11" s="509"/>
      <c r="K11" s="509"/>
      <c r="L11" s="509"/>
      <c r="N11" s="1249">
        <v>0.5</v>
      </c>
      <c r="O11" s="1249"/>
      <c r="P11" s="744" t="s">
        <v>501</v>
      </c>
      <c r="Q11" s="744"/>
      <c r="R11" s="744"/>
      <c r="S11" s="744"/>
      <c r="T11" s="23"/>
      <c r="U11" s="837">
        <f>(CADASTRO!$AU$23+CADASTRO!$AU$24+CADASTRO!$AU$27+CADASTRO!$AU$28)*N11</f>
        <v>146.5</v>
      </c>
      <c r="V11" s="640"/>
      <c r="X11" s="1326">
        <v>88</v>
      </c>
      <c r="Y11" s="1327"/>
      <c r="AA11" s="840">
        <f t="shared" ref="AA11:AA17" si="0">X11/U11</f>
        <v>0.60068259385665534</v>
      </c>
      <c r="AB11" s="840"/>
      <c r="AD11" s="1249">
        <v>1</v>
      </c>
      <c r="AE11" s="1249"/>
    </row>
    <row r="12" spans="2:31" ht="42" customHeight="1" x14ac:dyDescent="0.2">
      <c r="B12" s="509" t="s">
        <v>400</v>
      </c>
      <c r="C12" s="509"/>
      <c r="D12" s="509"/>
      <c r="E12" s="509"/>
      <c r="G12" s="509" t="s">
        <v>405</v>
      </c>
      <c r="H12" s="509"/>
      <c r="I12" s="509"/>
      <c r="J12" s="509"/>
      <c r="K12" s="509"/>
      <c r="L12" s="509"/>
      <c r="N12" s="1249">
        <v>0.12</v>
      </c>
      <c r="O12" s="1249"/>
      <c r="P12" s="744" t="s">
        <v>502</v>
      </c>
      <c r="Q12" s="744"/>
      <c r="R12" s="744"/>
      <c r="S12" s="744"/>
      <c r="T12" s="23"/>
      <c r="U12" s="788">
        <f>$U$11*N12</f>
        <v>17.579999999999998</v>
      </c>
      <c r="V12" s="744"/>
      <c r="X12" s="1326"/>
      <c r="Y12" s="1327"/>
      <c r="AA12" s="840">
        <f t="shared" si="0"/>
        <v>0</v>
      </c>
      <c r="AB12" s="840"/>
    </row>
    <row r="13" spans="2:31" ht="42.75" customHeight="1" x14ac:dyDescent="0.2">
      <c r="B13" s="509" t="s">
        <v>401</v>
      </c>
      <c r="C13" s="509"/>
      <c r="D13" s="509"/>
      <c r="E13" s="509"/>
      <c r="G13" s="1359" t="s">
        <v>406</v>
      </c>
      <c r="H13" s="509"/>
      <c r="I13" s="509"/>
      <c r="J13" s="509"/>
      <c r="K13" s="509"/>
      <c r="L13" s="509"/>
      <c r="N13" s="1249">
        <v>0.04</v>
      </c>
      <c r="O13" s="1249"/>
      <c r="P13" s="744" t="s">
        <v>503</v>
      </c>
      <c r="Q13" s="744"/>
      <c r="R13" s="744"/>
      <c r="S13" s="744"/>
      <c r="T13" s="23"/>
      <c r="U13" s="788">
        <f>$U$11*N13</f>
        <v>5.86</v>
      </c>
      <c r="V13" s="744"/>
      <c r="X13" s="1326"/>
      <c r="Y13" s="1327"/>
      <c r="AA13" s="840">
        <f t="shared" si="0"/>
        <v>0</v>
      </c>
      <c r="AB13" s="840"/>
    </row>
    <row r="14" spans="2:31" ht="40.5" customHeight="1" x14ac:dyDescent="0.2">
      <c r="B14" s="509" t="s">
        <v>402</v>
      </c>
      <c r="C14" s="509"/>
      <c r="D14" s="509"/>
      <c r="E14" s="509"/>
      <c r="G14" s="509" t="s">
        <v>407</v>
      </c>
      <c r="H14" s="509"/>
      <c r="I14" s="509"/>
      <c r="J14" s="509"/>
      <c r="K14" s="509"/>
      <c r="L14" s="509"/>
      <c r="N14" s="1249">
        <v>0.02</v>
      </c>
      <c r="O14" s="1249"/>
      <c r="P14" s="744" t="s">
        <v>504</v>
      </c>
      <c r="Q14" s="744"/>
      <c r="R14" s="744"/>
      <c r="S14" s="744"/>
      <c r="T14" s="23"/>
      <c r="U14" s="788">
        <f>$U$11*N14</f>
        <v>2.93</v>
      </c>
      <c r="V14" s="744"/>
      <c r="X14" s="1326"/>
      <c r="Y14" s="1327"/>
      <c r="AA14" s="840">
        <f t="shared" si="0"/>
        <v>0</v>
      </c>
      <c r="AB14" s="840"/>
    </row>
    <row r="15" spans="2:31" ht="50.1" customHeight="1" x14ac:dyDescent="0.2">
      <c r="B15" s="509" t="s">
        <v>360</v>
      </c>
      <c r="C15" s="509"/>
      <c r="D15" s="509"/>
      <c r="E15" s="509"/>
      <c r="G15" s="509" t="s">
        <v>396</v>
      </c>
      <c r="H15" s="509"/>
      <c r="I15" s="509"/>
      <c r="J15" s="509"/>
      <c r="K15" s="509"/>
      <c r="L15" s="509"/>
      <c r="N15" s="1249">
        <v>0.33300000000000002</v>
      </c>
      <c r="O15" s="1249"/>
      <c r="P15" s="744" t="s">
        <v>505</v>
      </c>
      <c r="Q15" s="744"/>
      <c r="R15" s="744"/>
      <c r="S15" s="744"/>
      <c r="T15" s="23"/>
      <c r="U15" s="837">
        <f>SUM(CADASTRO!AU18:BE24,CADASTRO!AU27)*N15</f>
        <v>302.36400000000003</v>
      </c>
      <c r="V15" s="640"/>
      <c r="X15" s="1326">
        <v>99</v>
      </c>
      <c r="Y15" s="1327"/>
      <c r="AA15" s="840">
        <f t="shared" si="0"/>
        <v>0.32741993094416</v>
      </c>
      <c r="AB15" s="840"/>
    </row>
    <row r="16" spans="2:31" ht="42.75" customHeight="1" x14ac:dyDescent="0.2">
      <c r="B16" s="509" t="s">
        <v>410</v>
      </c>
      <c r="C16" s="509"/>
      <c r="D16" s="509"/>
      <c r="E16" s="509"/>
      <c r="G16" s="509" t="s">
        <v>411</v>
      </c>
      <c r="H16" s="509"/>
      <c r="I16" s="509"/>
      <c r="J16" s="509"/>
      <c r="K16" s="509"/>
      <c r="L16" s="509"/>
      <c r="N16" s="1249">
        <v>0.02</v>
      </c>
      <c r="O16" s="1249"/>
      <c r="P16" s="744" t="s">
        <v>506</v>
      </c>
      <c r="Q16" s="744"/>
      <c r="R16" s="744"/>
      <c r="S16" s="744"/>
      <c r="T16" s="23"/>
      <c r="U16" s="1141">
        <f>U15*N16</f>
        <v>6.0472800000000007</v>
      </c>
      <c r="V16" s="1141"/>
      <c r="X16" s="1326"/>
      <c r="Y16" s="1327"/>
      <c r="AA16" s="840">
        <f t="shared" si="0"/>
        <v>0</v>
      </c>
      <c r="AB16" s="840"/>
    </row>
    <row r="17" spans="1:30" ht="42.75" customHeight="1" x14ac:dyDescent="0.2">
      <c r="B17" s="509" t="s">
        <v>403</v>
      </c>
      <c r="C17" s="509"/>
      <c r="D17" s="509"/>
      <c r="E17" s="509"/>
      <c r="G17" s="509" t="s">
        <v>404</v>
      </c>
      <c r="H17" s="509"/>
      <c r="I17" s="509"/>
      <c r="J17" s="509"/>
      <c r="K17" s="509"/>
      <c r="L17" s="509"/>
      <c r="N17" s="1249">
        <v>0.66</v>
      </c>
      <c r="O17" s="1249"/>
      <c r="P17" s="744" t="s">
        <v>507</v>
      </c>
      <c r="Q17" s="744"/>
      <c r="R17" s="744"/>
      <c r="S17" s="744"/>
      <c r="T17" s="23"/>
      <c r="U17" s="1141">
        <f>U16*N17</f>
        <v>3.9912048000000007</v>
      </c>
      <c r="V17" s="1141"/>
      <c r="X17" s="1326"/>
      <c r="Y17" s="1327"/>
      <c r="AA17" s="840">
        <f t="shared" si="0"/>
        <v>0</v>
      </c>
      <c r="AB17" s="840"/>
    </row>
    <row r="19" spans="1:30" ht="24.95" customHeight="1" x14ac:dyDescent="0.2">
      <c r="M19" s="1333" t="s">
        <v>601</v>
      </c>
      <c r="N19" s="1333"/>
      <c r="O19" s="1333"/>
      <c r="P19" s="1333"/>
      <c r="Q19" s="1333"/>
      <c r="R19" s="1333"/>
      <c r="S19" s="1333"/>
      <c r="T19" s="1333"/>
    </row>
    <row r="20" spans="1:30" ht="35.25" customHeight="1" x14ac:dyDescent="0.2">
      <c r="M20" s="1333" t="s">
        <v>390</v>
      </c>
      <c r="N20" s="1333"/>
      <c r="O20" s="1333"/>
      <c r="P20" s="1333"/>
      <c r="Q20" s="1333" t="s">
        <v>389</v>
      </c>
      <c r="R20" s="1333"/>
      <c r="S20" s="1333"/>
      <c r="T20" s="1333"/>
    </row>
    <row r="21" spans="1:30" ht="24.95" customHeight="1" x14ac:dyDescent="0.2">
      <c r="M21" s="1334">
        <f>' POP. ALVO'!Z102</f>
        <v>181.79999999999998</v>
      </c>
      <c r="N21" s="1334"/>
      <c r="O21" s="1334"/>
      <c r="P21" s="1334"/>
      <c r="Q21" s="1334">
        <f>' POP. ALVO'!Z101</f>
        <v>98</v>
      </c>
      <c r="R21" s="1334"/>
      <c r="S21" s="1334"/>
      <c r="T21" s="1334"/>
    </row>
    <row r="24" spans="1:30" ht="15" customHeight="1" x14ac:dyDescent="0.25">
      <c r="B24" s="245" t="s">
        <v>569</v>
      </c>
    </row>
    <row r="25" spans="1:30" ht="15" customHeight="1" x14ac:dyDescent="0.25">
      <c r="B25" s="245"/>
    </row>
    <row r="27" spans="1:30" s="3" customFormat="1" ht="15.75" x14ac:dyDescent="0.2">
      <c r="C27" s="4"/>
      <c r="D27" s="386"/>
      <c r="E27" s="386"/>
      <c r="F27" s="3" t="s">
        <v>143</v>
      </c>
    </row>
    <row r="28" spans="1:30" s="3" customFormat="1" ht="5.0999999999999996" customHeight="1" x14ac:dyDescent="0.2">
      <c r="C28" s="4"/>
    </row>
    <row r="29" spans="1:30" s="3" customFormat="1" ht="15.75" customHeight="1" x14ac:dyDescent="0.2">
      <c r="D29" s="11"/>
      <c r="E29" s="11"/>
    </row>
    <row r="30" spans="1:30" s="3" customFormat="1" ht="15.75" customHeight="1" x14ac:dyDescent="0.2">
      <c r="D30" s="11"/>
      <c r="E30" s="11"/>
      <c r="F30" s="817" t="s">
        <v>126</v>
      </c>
      <c r="G30" s="818"/>
      <c r="H30" s="818"/>
      <c r="I30" s="818"/>
      <c r="J30" s="818"/>
      <c r="K30" s="818"/>
      <c r="L30" s="818"/>
      <c r="M30" s="818"/>
      <c r="N30" s="818"/>
      <c r="O30" s="818"/>
      <c r="P30" s="818"/>
      <c r="Q30" s="818"/>
      <c r="R30" s="818"/>
      <c r="S30" s="818"/>
      <c r="T30" s="819"/>
      <c r="U30" s="20"/>
      <c r="V30" s="411" t="s">
        <v>646</v>
      </c>
      <c r="W30" s="411"/>
      <c r="X30" s="411"/>
      <c r="Y30" s="411"/>
      <c r="Z30" s="411"/>
      <c r="AA30" s="411"/>
      <c r="AB30" s="411"/>
      <c r="AC30" s="411"/>
      <c r="AD30" s="411"/>
    </row>
    <row r="31" spans="1:30" s="3" customFormat="1" ht="5.0999999999999996" customHeight="1" x14ac:dyDescent="0.2">
      <c r="C31" s="4"/>
      <c r="V31" s="27"/>
      <c r="W31" s="27"/>
      <c r="X31" s="27"/>
      <c r="Y31" s="27"/>
      <c r="Z31" s="27"/>
      <c r="AA31" s="27"/>
      <c r="AB31" s="27"/>
      <c r="AC31" s="27"/>
      <c r="AD31" s="27"/>
    </row>
    <row r="32" spans="1:30" s="16" customFormat="1" ht="59.25" customHeight="1" x14ac:dyDescent="0.2">
      <c r="A32" s="1350"/>
      <c r="B32" s="1350"/>
      <c r="C32" s="1350"/>
      <c r="D32" s="36"/>
      <c r="E32" s="36"/>
      <c r="F32" s="783" t="s">
        <v>393</v>
      </c>
      <c r="G32" s="783"/>
      <c r="H32" s="783"/>
      <c r="I32" s="783"/>
      <c r="J32" s="46"/>
      <c r="K32" s="1341" t="s">
        <v>391</v>
      </c>
      <c r="L32" s="1342"/>
      <c r="M32" s="1342"/>
      <c r="N32" s="1342"/>
      <c r="O32" s="1342"/>
      <c r="P32" s="1343"/>
      <c r="Q32" s="21"/>
      <c r="R32" s="1351"/>
      <c r="S32" s="1352"/>
      <c r="T32" s="1353"/>
      <c r="U32" s="32"/>
      <c r="V32" s="407">
        <v>1</v>
      </c>
      <c r="W32" s="408"/>
      <c r="X32" s="450" t="s">
        <v>394</v>
      </c>
      <c r="Y32" s="450"/>
      <c r="Z32" s="450"/>
      <c r="AA32" s="450"/>
      <c r="AB32" s="450"/>
      <c r="AC32" s="450"/>
      <c r="AD32" s="451"/>
    </row>
    <row r="33" spans="1:30" s="16" customFormat="1" ht="59.25" customHeight="1" x14ac:dyDescent="0.2">
      <c r="A33" s="239"/>
      <c r="B33" s="239"/>
      <c r="C33" s="239"/>
      <c r="D33" s="36"/>
      <c r="E33" s="36"/>
      <c r="F33" s="783"/>
      <c r="G33" s="783"/>
      <c r="H33" s="783"/>
      <c r="I33" s="783"/>
      <c r="J33" s="46"/>
      <c r="K33" s="1346" t="s">
        <v>647</v>
      </c>
      <c r="L33" s="1347"/>
      <c r="M33" s="1347"/>
      <c r="N33" s="1347"/>
      <c r="O33" s="1347"/>
      <c r="P33" s="1348"/>
      <c r="Q33" s="21"/>
      <c r="R33" s="1354"/>
      <c r="S33" s="1350"/>
      <c r="T33" s="1355"/>
      <c r="U33" s="32"/>
      <c r="V33" s="407">
        <v>1</v>
      </c>
      <c r="W33" s="408"/>
      <c r="X33" s="1344" t="s">
        <v>399</v>
      </c>
      <c r="Y33" s="1344"/>
      <c r="Z33" s="1344"/>
      <c r="AA33" s="1344"/>
      <c r="AB33" s="1344"/>
      <c r="AC33" s="1344"/>
      <c r="AD33" s="1345"/>
    </row>
    <row r="34" spans="1:30" s="16" customFormat="1" ht="52.5" customHeight="1" x14ac:dyDescent="0.2">
      <c r="A34" s="1349"/>
      <c r="B34" s="1349"/>
      <c r="C34" s="1349"/>
      <c r="D34" s="36"/>
      <c r="E34" s="36"/>
      <c r="F34" s="783"/>
      <c r="G34" s="783"/>
      <c r="H34" s="783"/>
      <c r="I34" s="783"/>
      <c r="J34" s="46"/>
      <c r="K34" s="1341" t="s">
        <v>392</v>
      </c>
      <c r="L34" s="1342"/>
      <c r="M34" s="1342"/>
      <c r="N34" s="1342"/>
      <c r="O34" s="1342"/>
      <c r="P34" s="1343"/>
      <c r="Q34" s="21"/>
      <c r="R34" s="1354"/>
      <c r="S34" s="1350"/>
      <c r="T34" s="1355"/>
      <c r="U34" s="32"/>
      <c r="V34" s="407">
        <v>1</v>
      </c>
      <c r="W34" s="408"/>
      <c r="X34" s="450" t="s">
        <v>395</v>
      </c>
      <c r="Y34" s="450"/>
      <c r="Z34" s="450"/>
      <c r="AA34" s="450"/>
      <c r="AB34" s="450"/>
      <c r="AC34" s="450"/>
      <c r="AD34" s="451"/>
    </row>
    <row r="35" spans="1:30" s="16" customFormat="1" ht="52.5" customHeight="1" x14ac:dyDescent="0.2">
      <c r="A35" s="240"/>
      <c r="B35" s="240"/>
      <c r="C35" s="240"/>
      <c r="D35" s="36"/>
      <c r="E35" s="36"/>
      <c r="F35" s="783"/>
      <c r="G35" s="783"/>
      <c r="H35" s="783"/>
      <c r="I35" s="783"/>
      <c r="J35" s="23"/>
      <c r="K35" s="1341" t="s">
        <v>647</v>
      </c>
      <c r="L35" s="1342"/>
      <c r="M35" s="1342"/>
      <c r="N35" s="1342"/>
      <c r="O35" s="1342"/>
      <c r="P35" s="1343"/>
      <c r="Q35" s="21"/>
      <c r="R35" s="1356"/>
      <c r="S35" s="1357"/>
      <c r="T35" s="1358"/>
      <c r="U35" s="32"/>
      <c r="V35" s="407">
        <v>1</v>
      </c>
      <c r="W35" s="408"/>
      <c r="X35" s="1344" t="s">
        <v>399</v>
      </c>
      <c r="Y35" s="1344"/>
      <c r="Z35" s="1344"/>
      <c r="AA35" s="1344"/>
      <c r="AB35" s="1344"/>
      <c r="AC35" s="1344"/>
      <c r="AD35" s="1345"/>
    </row>
    <row r="36" spans="1:30" s="3" customFormat="1" ht="10.5" customHeight="1" x14ac:dyDescent="0.2">
      <c r="C36" s="4"/>
      <c r="V36" s="426" t="s">
        <v>303</v>
      </c>
      <c r="W36" s="426"/>
      <c r="X36" s="426"/>
      <c r="Y36" s="426"/>
      <c r="Z36" s="426"/>
      <c r="AA36" s="426"/>
      <c r="AB36" s="426"/>
      <c r="AC36" s="426"/>
      <c r="AD36" s="426"/>
    </row>
    <row r="37" spans="1:30" s="3" customFormat="1" ht="15.75" x14ac:dyDescent="0.2">
      <c r="C37" s="4"/>
      <c r="V37" s="426"/>
      <c r="W37" s="426"/>
      <c r="X37" s="426"/>
      <c r="Y37" s="426"/>
      <c r="Z37" s="426"/>
      <c r="AA37" s="426"/>
      <c r="AB37" s="426"/>
      <c r="AC37" s="426"/>
      <c r="AD37" s="426"/>
    </row>
    <row r="38" spans="1:30" s="3" customFormat="1" ht="15.75" x14ac:dyDescent="0.2">
      <c r="C38" s="4"/>
      <c r="V38" s="426"/>
      <c r="W38" s="426"/>
      <c r="X38" s="426"/>
      <c r="Y38" s="426"/>
      <c r="Z38" s="426"/>
      <c r="AA38" s="426"/>
      <c r="AB38" s="426"/>
      <c r="AC38" s="426"/>
      <c r="AD38" s="426"/>
    </row>
    <row r="39" spans="1:30" s="3" customFormat="1" ht="7.5" customHeight="1" x14ac:dyDescent="0.2">
      <c r="C39" s="4"/>
      <c r="V39" s="31"/>
      <c r="W39" s="31"/>
      <c r="X39" s="31"/>
      <c r="Y39" s="31"/>
      <c r="Z39" s="31"/>
      <c r="AA39" s="31"/>
      <c r="AB39" s="31"/>
      <c r="AC39" s="31"/>
      <c r="AD39" s="31"/>
    </row>
    <row r="40" spans="1:30" s="3" customFormat="1" ht="7.5" customHeight="1" x14ac:dyDescent="0.2">
      <c r="C40" s="4"/>
      <c r="V40" s="31"/>
      <c r="W40" s="31"/>
      <c r="X40" s="31"/>
      <c r="Y40" s="31"/>
      <c r="Z40" s="31"/>
      <c r="AA40" s="31"/>
      <c r="AB40" s="31"/>
      <c r="AC40" s="31"/>
      <c r="AD40" s="31"/>
    </row>
    <row r="41" spans="1:30" s="3" customFormat="1" ht="15.75" x14ac:dyDescent="0.2">
      <c r="C41" s="4"/>
      <c r="D41" s="386"/>
      <c r="E41" s="386"/>
      <c r="F41" s="3" t="s">
        <v>166</v>
      </c>
    </row>
    <row r="42" spans="1:30" s="3" customFormat="1" ht="5.0999999999999996" customHeight="1" x14ac:dyDescent="0.2">
      <c r="C42" s="4"/>
    </row>
    <row r="43" spans="1:30" s="3" customFormat="1" ht="10.5" customHeight="1" x14ac:dyDescent="0.2">
      <c r="D43" s="11"/>
      <c r="E43" s="11"/>
    </row>
    <row r="44" spans="1:30" s="3" customFormat="1" ht="64.5" customHeight="1" x14ac:dyDescent="0.2">
      <c r="C44" s="4"/>
      <c r="F44" s="509" t="s">
        <v>167</v>
      </c>
      <c r="G44" s="509"/>
      <c r="H44" s="509"/>
      <c r="I44" s="509"/>
      <c r="K44" s="476" t="s">
        <v>408</v>
      </c>
      <c r="L44" s="459"/>
      <c r="M44" s="459"/>
      <c r="N44" s="459"/>
      <c r="O44" s="459"/>
      <c r="P44" s="477"/>
      <c r="R44" s="1335"/>
      <c r="S44" s="1336"/>
      <c r="T44" s="1337"/>
      <c r="V44" s="887">
        <v>1</v>
      </c>
      <c r="W44" s="888"/>
      <c r="X44" s="409" t="s">
        <v>412</v>
      </c>
      <c r="Y44" s="409"/>
      <c r="Z44" s="409"/>
      <c r="AA44" s="409"/>
      <c r="AB44" s="409"/>
      <c r="AC44" s="409"/>
      <c r="AD44" s="410"/>
    </row>
    <row r="45" spans="1:30" s="3" customFormat="1" ht="64.5" customHeight="1" x14ac:dyDescent="0.2">
      <c r="C45" s="4"/>
      <c r="F45" s="509" t="s">
        <v>167</v>
      </c>
      <c r="G45" s="509"/>
      <c r="H45" s="509"/>
      <c r="I45" s="509"/>
      <c r="K45" s="476" t="s">
        <v>409</v>
      </c>
      <c r="L45" s="459"/>
      <c r="M45" s="459"/>
      <c r="N45" s="459"/>
      <c r="O45" s="459"/>
      <c r="P45" s="477"/>
      <c r="R45" s="1338"/>
      <c r="S45" s="1339"/>
      <c r="T45" s="1340"/>
      <c r="V45" s="887">
        <v>1</v>
      </c>
      <c r="W45" s="888"/>
      <c r="X45" s="409" t="s">
        <v>412</v>
      </c>
      <c r="Y45" s="409"/>
      <c r="Z45" s="409"/>
      <c r="AA45" s="409"/>
      <c r="AB45" s="409"/>
      <c r="AC45" s="409"/>
      <c r="AD45" s="410"/>
    </row>
    <row r="46" spans="1:30" s="3" customFormat="1" ht="20.100000000000001" customHeight="1" x14ac:dyDescent="0.2">
      <c r="C46" s="4"/>
      <c r="V46" s="426" t="s">
        <v>133</v>
      </c>
      <c r="W46" s="426"/>
      <c r="X46" s="426"/>
      <c r="Y46" s="426"/>
      <c r="Z46" s="426"/>
      <c r="AA46" s="426"/>
      <c r="AB46" s="426"/>
      <c r="AC46" s="426"/>
      <c r="AD46" s="426"/>
    </row>
    <row r="47" spans="1:30" s="3" customFormat="1" ht="20.100000000000001" customHeight="1" x14ac:dyDescent="0.2">
      <c r="C47" s="4"/>
      <c r="V47" s="426"/>
      <c r="W47" s="426"/>
      <c r="X47" s="426"/>
      <c r="Y47" s="426"/>
      <c r="Z47" s="426"/>
      <c r="AA47" s="426"/>
      <c r="AB47" s="426"/>
      <c r="AC47" s="426"/>
      <c r="AD47" s="426"/>
    </row>
  </sheetData>
  <sheetProtection sheet="1" objects="1" scenarios="1"/>
  <mergeCells count="96">
    <mergeCell ref="C2:H2"/>
    <mergeCell ref="J2:O2"/>
    <mergeCell ref="Q2:V2"/>
    <mergeCell ref="X2:AC2"/>
    <mergeCell ref="AA14:AB14"/>
    <mergeCell ref="X11:Y11"/>
    <mergeCell ref="B11:E11"/>
    <mergeCell ref="B12:E12"/>
    <mergeCell ref="B13:E13"/>
    <mergeCell ref="X14:Y14"/>
    <mergeCell ref="G11:L11"/>
    <mergeCell ref="G12:L12"/>
    <mergeCell ref="G13:L13"/>
    <mergeCell ref="N11:O11"/>
    <mergeCell ref="B14:E14"/>
    <mergeCell ref="N12:O12"/>
    <mergeCell ref="X17:Y17"/>
    <mergeCell ref="AA16:AB16"/>
    <mergeCell ref="AA17:AB17"/>
    <mergeCell ref="AD11:AE11"/>
    <mergeCell ref="B9:L9"/>
    <mergeCell ref="N9:S9"/>
    <mergeCell ref="U9:V9"/>
    <mergeCell ref="X9:Y9"/>
    <mergeCell ref="AA9:AB9"/>
    <mergeCell ref="U16:V16"/>
    <mergeCell ref="U17:V17"/>
    <mergeCell ref="AA15:AB15"/>
    <mergeCell ref="X16:Y16"/>
    <mergeCell ref="X15:Y15"/>
    <mergeCell ref="X12:Y12"/>
    <mergeCell ref="X13:Y13"/>
    <mergeCell ref="B17:E17"/>
    <mergeCell ref="G17:L17"/>
    <mergeCell ref="N13:O13"/>
    <mergeCell ref="N14:O14"/>
    <mergeCell ref="N15:O15"/>
    <mergeCell ref="B15:E15"/>
    <mergeCell ref="B16:E16"/>
    <mergeCell ref="G14:L14"/>
    <mergeCell ref="G15:L15"/>
    <mergeCell ref="G16:L16"/>
    <mergeCell ref="P13:S13"/>
    <mergeCell ref="P14:S14"/>
    <mergeCell ref="P15:S15"/>
    <mergeCell ref="P16:S16"/>
    <mergeCell ref="P17:S17"/>
    <mergeCell ref="D27:E27"/>
    <mergeCell ref="F30:T30"/>
    <mergeCell ref="V30:AD30"/>
    <mergeCell ref="AD9:AE9"/>
    <mergeCell ref="U14:V14"/>
    <mergeCell ref="U15:V15"/>
    <mergeCell ref="U11:V11"/>
    <mergeCell ref="U12:V12"/>
    <mergeCell ref="U13:V13"/>
    <mergeCell ref="AA11:AB11"/>
    <mergeCell ref="AA12:AB12"/>
    <mergeCell ref="AA13:AB13"/>
    <mergeCell ref="N16:O16"/>
    <mergeCell ref="N17:O17"/>
    <mergeCell ref="P11:S11"/>
    <mergeCell ref="P12:S12"/>
    <mergeCell ref="X32:AD32"/>
    <mergeCell ref="K33:P33"/>
    <mergeCell ref="V33:W33"/>
    <mergeCell ref="X33:AD33"/>
    <mergeCell ref="A34:C34"/>
    <mergeCell ref="A32:C32"/>
    <mergeCell ref="F32:I35"/>
    <mergeCell ref="K32:P32"/>
    <mergeCell ref="R32:T35"/>
    <mergeCell ref="V32:W32"/>
    <mergeCell ref="D41:E41"/>
    <mergeCell ref="K34:P34"/>
    <mergeCell ref="V34:W34"/>
    <mergeCell ref="X34:AD34"/>
    <mergeCell ref="K35:P35"/>
    <mergeCell ref="V35:W35"/>
    <mergeCell ref="X35:AD35"/>
    <mergeCell ref="V46:AD47"/>
    <mergeCell ref="V36:AD38"/>
    <mergeCell ref="F44:I44"/>
    <mergeCell ref="K44:P44"/>
    <mergeCell ref="R44:T45"/>
    <mergeCell ref="V44:W44"/>
    <mergeCell ref="X44:AD44"/>
    <mergeCell ref="F45:I45"/>
    <mergeCell ref="K45:P45"/>
    <mergeCell ref="V45:W45"/>
    <mergeCell ref="X45:AD45"/>
    <mergeCell ref="M19:T19"/>
    <mergeCell ref="M20:P20"/>
    <mergeCell ref="Q20:T20"/>
    <mergeCell ref="Q21:T21"/>
    <mergeCell ref="M21:P21"/>
  </mergeCells>
  <pageMargins left="0.511811024" right="0.511811024" top="0.78740157499999996" bottom="0.78740157499999996" header="0.31496062000000002" footer="0.3149606200000000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14"/>
  <dimension ref="A2:AF69"/>
  <sheetViews>
    <sheetView topLeftCell="A41" zoomScale="110" zoomScaleNormal="110" workbookViewId="0">
      <selection activeCell="A41" sqref="A1:IV65536"/>
    </sheetView>
  </sheetViews>
  <sheetFormatPr defaultRowHeight="14.25" x14ac:dyDescent="0.2"/>
  <cols>
    <col min="1" max="1" width="3.625" style="243" customWidth="1"/>
    <col min="2" max="5" width="5.375" style="243" customWidth="1"/>
    <col min="6" max="6" width="1.625" style="243" customWidth="1"/>
    <col min="7" max="11" width="5.375" style="243" customWidth="1"/>
    <col min="12" max="12" width="3.5" style="243" customWidth="1"/>
    <col min="13" max="13" width="1.625" style="243" customWidth="1"/>
    <col min="14" max="14" width="5.75" style="243" customWidth="1"/>
    <col min="15" max="15" width="6.125" style="243" customWidth="1"/>
    <col min="16" max="19" width="5.375" style="243" customWidth="1"/>
    <col min="20" max="20" width="1.625" style="243" customWidth="1"/>
    <col min="21" max="21" width="6.25" style="243" customWidth="1"/>
    <col min="22" max="22" width="5.5" style="243" customWidth="1"/>
    <col min="23" max="23" width="2.625" style="243" customWidth="1"/>
    <col min="24" max="25" width="7.125" style="243" customWidth="1"/>
    <col min="26" max="26" width="2.125" style="243" customWidth="1"/>
    <col min="27" max="27" width="5.375" style="243" customWidth="1"/>
    <col min="28" max="28" width="6.375" style="243" customWidth="1"/>
    <col min="29" max="29" width="1.625" style="243" customWidth="1"/>
    <col min="30" max="31" width="5.375" style="243" customWidth="1"/>
    <col min="32" max="32" width="1.625" style="243" customWidth="1"/>
    <col min="33" max="132" width="5.875" style="243" customWidth="1"/>
    <col min="133" max="16384" width="9" style="243"/>
  </cols>
  <sheetData>
    <row r="2" spans="2:31" s="3" customFormat="1" ht="63.75" customHeight="1" x14ac:dyDescent="0.2">
      <c r="B2" s="190"/>
      <c r="C2" s="1139"/>
      <c r="D2" s="1139"/>
      <c r="E2" s="1139"/>
      <c r="F2" s="1139"/>
      <c r="G2" s="1139"/>
      <c r="H2" s="1139"/>
      <c r="I2" s="190"/>
      <c r="J2" s="1139"/>
      <c r="K2" s="1139"/>
      <c r="L2" s="1139"/>
      <c r="M2" s="1139"/>
      <c r="N2" s="1139"/>
      <c r="O2" s="1139"/>
      <c r="P2" s="190"/>
      <c r="Q2" s="1139"/>
      <c r="R2" s="1139"/>
      <c r="S2" s="1139"/>
      <c r="T2" s="1139"/>
      <c r="U2" s="1139"/>
      <c r="V2" s="1139"/>
      <c r="W2" s="190"/>
      <c r="X2" s="1139"/>
      <c r="Y2" s="1139"/>
      <c r="Z2" s="1139"/>
      <c r="AA2" s="1139"/>
      <c r="AB2" s="1139"/>
      <c r="AC2" s="1139"/>
      <c r="AD2" s="190"/>
      <c r="AE2" s="191"/>
    </row>
    <row r="4" spans="2:31" ht="15" x14ac:dyDescent="0.2">
      <c r="B4" s="26" t="s">
        <v>296</v>
      </c>
    </row>
    <row r="5" spans="2:31" ht="15" x14ac:dyDescent="0.2">
      <c r="B5" s="26"/>
    </row>
    <row r="6" spans="2:31" ht="15" customHeight="1" x14ac:dyDescent="0.25">
      <c r="B6" s="245" t="s">
        <v>567</v>
      </c>
    </row>
    <row r="7" spans="2:31" ht="15" x14ac:dyDescent="0.2">
      <c r="B7" s="26"/>
    </row>
    <row r="8" spans="2:31" s="3" customFormat="1" ht="15.75" customHeight="1" x14ac:dyDescent="0.2">
      <c r="D8" s="386"/>
      <c r="E8" s="386"/>
      <c r="F8" s="8" t="s">
        <v>568</v>
      </c>
      <c r="G8" s="8"/>
      <c r="H8" s="8"/>
      <c r="I8" s="8"/>
      <c r="J8" s="8"/>
      <c r="K8" s="8"/>
      <c r="L8" s="8"/>
      <c r="M8" s="8"/>
      <c r="N8" s="8"/>
      <c r="O8" s="8"/>
      <c r="P8" s="8"/>
      <c r="Q8" s="8"/>
      <c r="R8" s="8"/>
      <c r="S8" s="8"/>
      <c r="T8" s="8"/>
      <c r="U8" s="8"/>
      <c r="V8" s="8"/>
      <c r="W8" s="8"/>
      <c r="X8" s="8"/>
      <c r="Y8" s="8"/>
      <c r="Z8" s="8"/>
      <c r="AA8" s="8"/>
      <c r="AB8" s="8"/>
      <c r="AC8" s="8"/>
      <c r="AD8" s="8"/>
    </row>
    <row r="10" spans="2:31" s="3" customFormat="1" ht="15.75" customHeight="1" x14ac:dyDescent="0.2">
      <c r="D10" s="18"/>
      <c r="E10" s="18"/>
      <c r="F10" s="817" t="s">
        <v>581</v>
      </c>
      <c r="G10" s="818"/>
      <c r="H10" s="818"/>
      <c r="I10" s="818"/>
      <c r="J10" s="818"/>
      <c r="K10" s="818"/>
      <c r="L10" s="818"/>
      <c r="M10" s="818"/>
      <c r="N10" s="818"/>
      <c r="O10" s="818"/>
      <c r="P10" s="818"/>
      <c r="Q10" s="818"/>
      <c r="R10" s="818"/>
      <c r="S10" s="818"/>
      <c r="T10" s="818"/>
      <c r="U10" s="818"/>
      <c r="V10" s="818"/>
      <c r="W10" s="818"/>
      <c r="X10" s="818"/>
      <c r="Y10" s="818"/>
      <c r="Z10" s="818"/>
      <c r="AA10" s="818"/>
      <c r="AB10" s="819"/>
      <c r="AC10" s="241"/>
      <c r="AD10" s="241"/>
    </row>
    <row r="11" spans="2:31" s="3" customFormat="1" ht="7.5" customHeight="1" x14ac:dyDescent="0.2">
      <c r="D11" s="18"/>
      <c r="E11" s="18"/>
      <c r="F11" s="7"/>
      <c r="G11" s="7"/>
      <c r="H11" s="7"/>
      <c r="I11" s="7"/>
      <c r="J11" s="7"/>
      <c r="K11" s="7"/>
      <c r="L11" s="7"/>
      <c r="M11" s="7"/>
      <c r="N11" s="7"/>
      <c r="O11" s="7"/>
      <c r="P11" s="7"/>
      <c r="Q11" s="7"/>
      <c r="R11" s="7"/>
      <c r="S11" s="7"/>
      <c r="T11" s="7"/>
      <c r="U11" s="7"/>
      <c r="V11" s="7"/>
      <c r="W11" s="7"/>
      <c r="X11" s="7"/>
      <c r="Y11" s="7"/>
      <c r="Z11" s="7"/>
      <c r="AA11" s="7"/>
      <c r="AB11" s="7"/>
      <c r="AC11" s="7"/>
      <c r="AD11" s="7"/>
    </row>
    <row r="12" spans="2:31" s="3" customFormat="1" ht="15" customHeight="1" x14ac:dyDescent="0.2">
      <c r="D12" s="18"/>
      <c r="E12" s="18"/>
      <c r="F12" s="660" t="s">
        <v>263</v>
      </c>
      <c r="G12" s="661"/>
      <c r="H12" s="661"/>
      <c r="I12" s="662"/>
      <c r="J12" s="7"/>
      <c r="K12" s="669" t="s">
        <v>294</v>
      </c>
      <c r="L12" s="670"/>
      <c r="M12" s="670"/>
      <c r="N12" s="670"/>
      <c r="O12" s="670"/>
      <c r="P12" s="670"/>
      <c r="Q12" s="670"/>
      <c r="R12" s="670"/>
      <c r="S12" s="670"/>
      <c r="T12" s="670"/>
      <c r="U12" s="670"/>
      <c r="V12" s="670"/>
      <c r="W12" s="670"/>
      <c r="X12" s="670"/>
      <c r="Y12" s="670"/>
      <c r="Z12" s="670"/>
      <c r="AA12" s="670"/>
      <c r="AB12" s="671"/>
      <c r="AC12" s="7"/>
      <c r="AD12" s="7"/>
    </row>
    <row r="13" spans="2:31" s="3" customFormat="1" ht="24.95" customHeight="1" x14ac:dyDescent="0.2">
      <c r="D13" s="18"/>
      <c r="E13" s="18"/>
      <c r="F13" s="663"/>
      <c r="G13" s="664"/>
      <c r="H13" s="664"/>
      <c r="I13" s="665"/>
      <c r="J13" s="7"/>
      <c r="K13" s="484" t="s">
        <v>289</v>
      </c>
      <c r="L13" s="485"/>
      <c r="M13" s="486"/>
      <c r="N13" s="484" t="s">
        <v>290</v>
      </c>
      <c r="O13" s="485"/>
      <c r="P13" s="486"/>
      <c r="Q13" s="484" t="s">
        <v>291</v>
      </c>
      <c r="R13" s="485"/>
      <c r="S13" s="486"/>
      <c r="T13" s="484" t="s">
        <v>292</v>
      </c>
      <c r="U13" s="485"/>
      <c r="V13" s="486"/>
      <c r="W13" s="484" t="s">
        <v>293</v>
      </c>
      <c r="X13" s="485"/>
      <c r="Y13" s="486"/>
      <c r="Z13" s="484" t="s">
        <v>295</v>
      </c>
      <c r="AA13" s="485"/>
      <c r="AB13" s="486"/>
      <c r="AC13" s="23"/>
      <c r="AD13" s="7"/>
    </row>
    <row r="14" spans="2:31" s="3" customFormat="1" ht="24.95" customHeight="1" x14ac:dyDescent="0.2">
      <c r="D14" s="18"/>
      <c r="E14" s="18"/>
      <c r="F14" s="509" t="s">
        <v>31</v>
      </c>
      <c r="G14" s="509"/>
      <c r="H14" s="509"/>
      <c r="I14" s="509"/>
      <c r="J14" s="7"/>
      <c r="K14" s="651">
        <v>6.7000000000000004E-2</v>
      </c>
      <c r="L14" s="652"/>
      <c r="M14" s="653"/>
      <c r="N14" s="651">
        <v>0.32100000000000001</v>
      </c>
      <c r="O14" s="652"/>
      <c r="P14" s="653"/>
      <c r="Q14" s="651">
        <v>7.3999999999999996E-2</v>
      </c>
      <c r="R14" s="652"/>
      <c r="S14" s="653"/>
      <c r="T14" s="651">
        <v>0.35699999999999998</v>
      </c>
      <c r="U14" s="652"/>
      <c r="V14" s="653"/>
      <c r="W14" s="651">
        <v>0.125</v>
      </c>
      <c r="X14" s="652"/>
      <c r="Y14" s="653"/>
      <c r="Z14" s="651">
        <v>0.23</v>
      </c>
      <c r="AA14" s="652"/>
      <c r="AB14" s="653"/>
      <c r="AC14" s="23"/>
      <c r="AD14" s="7"/>
    </row>
    <row r="15" spans="2:31" s="3" customFormat="1" ht="24.95" customHeight="1" x14ac:dyDescent="0.2">
      <c r="D15" s="18"/>
      <c r="E15" s="18"/>
      <c r="F15" s="509" t="s">
        <v>489</v>
      </c>
      <c r="G15" s="509"/>
      <c r="H15" s="509"/>
      <c r="I15" s="509"/>
      <c r="J15" s="7"/>
      <c r="K15" s="651">
        <v>9.4E-2</v>
      </c>
      <c r="L15" s="652"/>
      <c r="M15" s="653"/>
      <c r="N15" s="651">
        <v>0.52900000000000003</v>
      </c>
      <c r="O15" s="652"/>
      <c r="P15" s="653"/>
      <c r="Q15" s="651">
        <v>0.18</v>
      </c>
      <c r="R15" s="652"/>
      <c r="S15" s="653"/>
      <c r="T15" s="651">
        <v>0.35599999999999998</v>
      </c>
      <c r="U15" s="652"/>
      <c r="V15" s="653"/>
      <c r="W15" s="651">
        <v>9.7000000000000003E-2</v>
      </c>
      <c r="X15" s="652"/>
      <c r="Y15" s="653"/>
      <c r="Z15" s="651">
        <v>0.24199999999999999</v>
      </c>
      <c r="AA15" s="652"/>
      <c r="AB15" s="653"/>
      <c r="AC15" s="23"/>
      <c r="AD15" s="7"/>
    </row>
    <row r="16" spans="2:31" s="3" customFormat="1" ht="24.95" customHeight="1" x14ac:dyDescent="0.2">
      <c r="D16" s="18"/>
      <c r="E16" s="18"/>
      <c r="F16" s="509" t="s">
        <v>490</v>
      </c>
      <c r="G16" s="509"/>
      <c r="H16" s="509"/>
      <c r="I16" s="509"/>
      <c r="J16" s="7"/>
      <c r="K16" s="651">
        <v>9.0999999999999998E-2</v>
      </c>
      <c r="L16" s="652"/>
      <c r="M16" s="653"/>
      <c r="N16" s="651">
        <v>0.61299999999999999</v>
      </c>
      <c r="O16" s="652"/>
      <c r="P16" s="653"/>
      <c r="Q16" s="651">
        <v>0.23200000000000001</v>
      </c>
      <c r="R16" s="652"/>
      <c r="S16" s="653"/>
      <c r="T16" s="651">
        <v>0.40799999999999997</v>
      </c>
      <c r="U16" s="652"/>
      <c r="V16" s="653"/>
      <c r="W16" s="651">
        <v>9.7000000000000003E-2</v>
      </c>
      <c r="X16" s="652"/>
      <c r="Y16" s="653"/>
      <c r="Z16" s="651">
        <v>0.217</v>
      </c>
      <c r="AA16" s="652"/>
      <c r="AB16" s="653"/>
      <c r="AC16" s="23"/>
      <c r="AD16" s="7"/>
    </row>
    <row r="17" spans="4:30" s="3" customFormat="1" ht="24.95" customHeight="1" x14ac:dyDescent="0.2">
      <c r="D17" s="18"/>
      <c r="E17" s="18"/>
      <c r="F17" s="509" t="s">
        <v>493</v>
      </c>
      <c r="G17" s="509"/>
      <c r="H17" s="509"/>
      <c r="I17" s="509"/>
      <c r="J17" s="7"/>
      <c r="K17" s="651">
        <v>0.111</v>
      </c>
      <c r="L17" s="652"/>
      <c r="M17" s="653"/>
      <c r="N17" s="651">
        <v>0.64</v>
      </c>
      <c r="O17" s="652"/>
      <c r="P17" s="653"/>
      <c r="Q17" s="651">
        <v>0.24</v>
      </c>
      <c r="R17" s="652"/>
      <c r="S17" s="653"/>
      <c r="T17" s="651">
        <v>0.45200000000000001</v>
      </c>
      <c r="U17" s="652"/>
      <c r="V17" s="653"/>
      <c r="W17" s="651">
        <v>0.108</v>
      </c>
      <c r="X17" s="652"/>
      <c r="Y17" s="653"/>
      <c r="Z17" s="651">
        <v>0.14699999999999999</v>
      </c>
      <c r="AA17" s="652"/>
      <c r="AB17" s="653"/>
      <c r="AC17" s="23"/>
      <c r="AD17" s="7"/>
    </row>
    <row r="18" spans="4:30" s="3" customFormat="1" ht="24.95" customHeight="1" x14ac:dyDescent="0.2">
      <c r="D18" s="18"/>
      <c r="E18" s="18"/>
      <c r="F18" s="509" t="s">
        <v>38</v>
      </c>
      <c r="G18" s="509"/>
      <c r="H18" s="509"/>
      <c r="I18" s="509"/>
      <c r="J18" s="7"/>
      <c r="K18" s="651">
        <v>0.123</v>
      </c>
      <c r="L18" s="652"/>
      <c r="M18" s="653"/>
      <c r="N18" s="651">
        <v>0.63100000000000001</v>
      </c>
      <c r="O18" s="652"/>
      <c r="P18" s="653"/>
      <c r="Q18" s="651">
        <v>0.246</v>
      </c>
      <c r="R18" s="652"/>
      <c r="S18" s="653"/>
      <c r="T18" s="651">
        <v>0.51200000000000001</v>
      </c>
      <c r="U18" s="652"/>
      <c r="V18" s="653"/>
      <c r="W18" s="651">
        <v>0.154</v>
      </c>
      <c r="X18" s="652"/>
      <c r="Y18" s="653"/>
      <c r="Z18" s="651">
        <v>0.11</v>
      </c>
      <c r="AA18" s="652"/>
      <c r="AB18" s="653"/>
      <c r="AC18" s="23"/>
      <c r="AD18" s="7"/>
    </row>
    <row r="19" spans="4:30" s="3" customFormat="1" ht="24.95" customHeight="1" x14ac:dyDescent="0.2">
      <c r="D19" s="18"/>
      <c r="E19" s="18"/>
      <c r="F19" s="509" t="s">
        <v>492</v>
      </c>
      <c r="G19" s="509"/>
      <c r="H19" s="509"/>
      <c r="I19" s="509"/>
      <c r="J19" s="7"/>
      <c r="K19" s="651">
        <v>0.123</v>
      </c>
      <c r="L19" s="652"/>
      <c r="M19" s="653"/>
      <c r="N19" s="651">
        <v>0.63100000000000001</v>
      </c>
      <c r="O19" s="652"/>
      <c r="P19" s="653"/>
      <c r="Q19" s="651">
        <v>0.246</v>
      </c>
      <c r="R19" s="652"/>
      <c r="S19" s="653"/>
      <c r="T19" s="651">
        <v>0.51200000000000001</v>
      </c>
      <c r="U19" s="652"/>
      <c r="V19" s="653"/>
      <c r="W19" s="651">
        <v>0.154</v>
      </c>
      <c r="X19" s="652"/>
      <c r="Y19" s="653"/>
      <c r="Z19" s="651">
        <v>0.11</v>
      </c>
      <c r="AA19" s="652"/>
      <c r="AB19" s="653"/>
      <c r="AC19" s="23"/>
      <c r="AD19" s="7"/>
    </row>
    <row r="20" spans="4:30" s="3" customFormat="1" ht="24.95" customHeight="1" x14ac:dyDescent="0.2">
      <c r="D20" s="18"/>
      <c r="E20" s="18"/>
      <c r="F20" s="509" t="s">
        <v>491</v>
      </c>
      <c r="G20" s="509"/>
      <c r="H20" s="509"/>
      <c r="I20" s="509"/>
      <c r="J20" s="7"/>
      <c r="K20" s="651">
        <v>6.0999999999999999E-2</v>
      </c>
      <c r="L20" s="652"/>
      <c r="M20" s="653"/>
      <c r="N20" s="651">
        <v>0.60599999999999998</v>
      </c>
      <c r="O20" s="652"/>
      <c r="P20" s="653"/>
      <c r="Q20" s="651">
        <v>0.215</v>
      </c>
      <c r="R20" s="652"/>
      <c r="S20" s="653"/>
      <c r="T20" s="651">
        <v>0.69199999999999995</v>
      </c>
      <c r="U20" s="652"/>
      <c r="V20" s="653"/>
      <c r="W20" s="651">
        <v>0.33200000000000002</v>
      </c>
      <c r="X20" s="652"/>
      <c r="Y20" s="653"/>
      <c r="Z20" s="651">
        <v>4.1000000000000002E-2</v>
      </c>
      <c r="AA20" s="652"/>
      <c r="AB20" s="653"/>
      <c r="AC20" s="23"/>
      <c r="AD20" s="7"/>
    </row>
    <row r="21" spans="4:30" s="3" customFormat="1" ht="7.5" customHeight="1" x14ac:dyDescent="0.2">
      <c r="D21" s="18"/>
      <c r="E21" s="18"/>
      <c r="F21" s="235"/>
      <c r="G21" s="235"/>
      <c r="H21" s="235"/>
      <c r="I21" s="235"/>
      <c r="J21" s="7"/>
      <c r="K21" s="28"/>
      <c r="L21" s="28"/>
      <c r="M21" s="28"/>
      <c r="N21" s="28"/>
      <c r="O21" s="28"/>
      <c r="P21" s="28"/>
      <c r="Q21" s="28"/>
      <c r="R21" s="28"/>
      <c r="S21" s="28"/>
      <c r="T21" s="28"/>
      <c r="U21" s="28"/>
      <c r="V21" s="28"/>
      <c r="W21" s="28"/>
      <c r="X21" s="28"/>
      <c r="Y21" s="28"/>
      <c r="Z21" s="28"/>
      <c r="AA21" s="28"/>
      <c r="AB21" s="28"/>
      <c r="AC21" s="23"/>
      <c r="AD21" s="7"/>
    </row>
    <row r="22" spans="4:30" s="3" customFormat="1" ht="24.95" customHeight="1" x14ac:dyDescent="0.2">
      <c r="D22" s="18"/>
      <c r="E22" s="18"/>
      <c r="F22" s="679" t="s">
        <v>228</v>
      </c>
      <c r="G22" s="680"/>
      <c r="H22" s="680"/>
      <c r="I22" s="681"/>
      <c r="J22" s="7"/>
      <c r="K22" s="682" t="s">
        <v>605</v>
      </c>
      <c r="L22" s="683"/>
      <c r="M22" s="683"/>
      <c r="N22" s="683"/>
      <c r="O22" s="683"/>
      <c r="P22" s="683"/>
      <c r="Q22" s="683"/>
      <c r="R22" s="683"/>
      <c r="S22" s="683"/>
      <c r="T22" s="683"/>
      <c r="U22" s="683"/>
      <c r="V22" s="683"/>
      <c r="W22" s="683"/>
      <c r="X22" s="683"/>
      <c r="Y22" s="683"/>
      <c r="Z22" s="683"/>
      <c r="AA22" s="683"/>
      <c r="AB22" s="684"/>
      <c r="AC22" s="23"/>
      <c r="AD22" s="7"/>
    </row>
    <row r="23" spans="4:30" s="3" customFormat="1" ht="21" customHeight="1" x14ac:dyDescent="0.2">
      <c r="D23" s="18"/>
      <c r="E23" s="18"/>
      <c r="F23" s="685" t="s">
        <v>604</v>
      </c>
      <c r="G23" s="685"/>
      <c r="H23" s="685"/>
      <c r="I23" s="685"/>
      <c r="J23" s="685"/>
      <c r="K23" s="28"/>
      <c r="L23" s="28"/>
      <c r="M23" s="28"/>
      <c r="N23" s="28"/>
      <c r="O23" s="28"/>
      <c r="P23" s="28"/>
      <c r="Q23" s="28"/>
      <c r="R23" s="28"/>
      <c r="S23" s="28"/>
      <c r="T23" s="28"/>
      <c r="U23" s="28"/>
      <c r="V23" s="28"/>
      <c r="W23" s="28"/>
      <c r="X23" s="28"/>
      <c r="Y23" s="28"/>
      <c r="Z23" s="28"/>
      <c r="AA23" s="28"/>
      <c r="AB23" s="28"/>
      <c r="AC23" s="23"/>
      <c r="AD23" s="7"/>
    </row>
    <row r="24" spans="4:30" s="3" customFormat="1" ht="15.75" customHeight="1" x14ac:dyDescent="0.2">
      <c r="D24" s="18"/>
      <c r="E24" s="18"/>
      <c r="F24" s="7"/>
      <c r="G24" s="7"/>
      <c r="H24" s="7"/>
      <c r="I24" s="7"/>
      <c r="J24" s="7"/>
      <c r="K24" s="7"/>
      <c r="L24" s="7"/>
      <c r="M24" s="7"/>
      <c r="N24" s="7"/>
      <c r="O24" s="7"/>
      <c r="P24" s="7"/>
      <c r="Q24" s="7"/>
      <c r="R24" s="7"/>
      <c r="S24" s="7"/>
      <c r="T24" s="7"/>
      <c r="U24" s="7"/>
      <c r="V24" s="7"/>
      <c r="W24" s="7"/>
      <c r="X24" s="7"/>
      <c r="Y24" s="7"/>
      <c r="Z24" s="7"/>
      <c r="AA24" s="7"/>
      <c r="AB24" s="7"/>
      <c r="AC24" s="7"/>
      <c r="AD24" s="7"/>
    </row>
    <row r="25" spans="4:30" s="3" customFormat="1" ht="15.75" customHeight="1" x14ac:dyDescent="0.2">
      <c r="D25" s="18"/>
      <c r="E25" s="18"/>
      <c r="F25" s="817" t="s">
        <v>580</v>
      </c>
      <c r="G25" s="818"/>
      <c r="H25" s="818"/>
      <c r="I25" s="818"/>
      <c r="J25" s="818"/>
      <c r="K25" s="818"/>
      <c r="L25" s="818"/>
      <c r="M25" s="818"/>
      <c r="N25" s="818"/>
      <c r="O25" s="818"/>
      <c r="P25" s="818"/>
      <c r="Q25" s="818"/>
      <c r="R25" s="818"/>
      <c r="S25" s="818"/>
      <c r="T25" s="818"/>
      <c r="U25" s="818"/>
      <c r="V25" s="818"/>
      <c r="W25" s="818"/>
      <c r="X25" s="818"/>
      <c r="Y25" s="818"/>
      <c r="Z25" s="818"/>
      <c r="AA25" s="818"/>
      <c r="AB25" s="819"/>
      <c r="AC25" s="241"/>
      <c r="AD25" s="241"/>
    </row>
    <row r="26" spans="4:30" s="3" customFormat="1" ht="7.5" customHeight="1" x14ac:dyDescent="0.2">
      <c r="D26" s="18"/>
      <c r="E26" s="18"/>
      <c r="F26" s="7"/>
      <c r="G26" s="7"/>
      <c r="H26" s="7"/>
      <c r="I26" s="7"/>
      <c r="J26" s="7"/>
      <c r="K26" s="7"/>
      <c r="L26" s="7"/>
      <c r="M26" s="7"/>
      <c r="N26" s="7"/>
      <c r="O26" s="7"/>
      <c r="P26" s="7"/>
      <c r="Q26" s="7"/>
      <c r="R26" s="7"/>
      <c r="S26" s="7"/>
      <c r="T26" s="7"/>
      <c r="U26" s="7"/>
      <c r="V26" s="7"/>
      <c r="W26" s="7"/>
      <c r="X26" s="7"/>
      <c r="Y26" s="7"/>
      <c r="Z26" s="7"/>
      <c r="AA26" s="7"/>
      <c r="AB26" s="7"/>
      <c r="AC26" s="7"/>
      <c r="AD26" s="7"/>
    </row>
    <row r="27" spans="4:30" s="3" customFormat="1" ht="15" customHeight="1" x14ac:dyDescent="0.2">
      <c r="D27" s="18"/>
      <c r="E27" s="18"/>
      <c r="F27" s="660" t="s">
        <v>263</v>
      </c>
      <c r="G27" s="661"/>
      <c r="H27" s="661"/>
      <c r="I27" s="662"/>
      <c r="J27" s="7"/>
      <c r="K27" s="669" t="s">
        <v>294</v>
      </c>
      <c r="L27" s="670"/>
      <c r="M27" s="670"/>
      <c r="N27" s="670"/>
      <c r="O27" s="670"/>
      <c r="P27" s="670"/>
      <c r="Q27" s="670"/>
      <c r="R27" s="670"/>
      <c r="S27" s="670"/>
      <c r="T27" s="670"/>
      <c r="U27" s="670"/>
      <c r="V27" s="670"/>
      <c r="W27" s="670"/>
      <c r="X27" s="670"/>
      <c r="Y27" s="670"/>
      <c r="Z27" s="670"/>
      <c r="AA27" s="670"/>
      <c r="AB27" s="671"/>
      <c r="AC27" s="7"/>
      <c r="AD27" s="7"/>
    </row>
    <row r="28" spans="4:30" s="3" customFormat="1" ht="38.25" customHeight="1" x14ac:dyDescent="0.2">
      <c r="D28" s="18"/>
      <c r="E28" s="18"/>
      <c r="F28" s="663"/>
      <c r="G28" s="664"/>
      <c r="H28" s="664"/>
      <c r="I28" s="665"/>
      <c r="J28" s="7"/>
      <c r="K28" s="484" t="s">
        <v>289</v>
      </c>
      <c r="L28" s="485"/>
      <c r="M28" s="486"/>
      <c r="N28" s="484" t="s">
        <v>290</v>
      </c>
      <c r="O28" s="485"/>
      <c r="P28" s="486"/>
      <c r="Q28" s="484" t="s">
        <v>291</v>
      </c>
      <c r="R28" s="485"/>
      <c r="S28" s="486"/>
      <c r="T28" s="484" t="s">
        <v>292</v>
      </c>
      <c r="U28" s="485"/>
      <c r="V28" s="486"/>
      <c r="W28" s="484" t="s">
        <v>293</v>
      </c>
      <c r="X28" s="485"/>
      <c r="Y28" s="486"/>
      <c r="Z28" s="484" t="s">
        <v>295</v>
      </c>
      <c r="AA28" s="485"/>
      <c r="AB28" s="486"/>
      <c r="AC28" s="23"/>
      <c r="AD28" s="7"/>
    </row>
    <row r="29" spans="4:30" s="3" customFormat="1" ht="24.95" customHeight="1" x14ac:dyDescent="0.2">
      <c r="D29" s="18"/>
      <c r="E29" s="18"/>
      <c r="F29" s="509" t="s">
        <v>31</v>
      </c>
      <c r="G29" s="509"/>
      <c r="H29" s="509"/>
      <c r="I29" s="509"/>
      <c r="J29" s="7"/>
      <c r="K29" s="1363">
        <v>6.7000000000000004E-2</v>
      </c>
      <c r="L29" s="1364"/>
      <c r="M29" s="1365"/>
      <c r="N29" s="1363">
        <v>0.32100000000000001</v>
      </c>
      <c r="O29" s="1364"/>
      <c r="P29" s="1365"/>
      <c r="Q29" s="1363">
        <v>7.3999999999999996E-2</v>
      </c>
      <c r="R29" s="1364"/>
      <c r="S29" s="1365"/>
      <c r="T29" s="1363">
        <v>0.35699999999999998</v>
      </c>
      <c r="U29" s="1364"/>
      <c r="V29" s="1365"/>
      <c r="W29" s="1363">
        <v>0.125</v>
      </c>
      <c r="X29" s="1364"/>
      <c r="Y29" s="1365"/>
      <c r="Z29" s="1363">
        <v>0.23</v>
      </c>
      <c r="AA29" s="1364"/>
      <c r="AB29" s="1365"/>
      <c r="AC29" s="23"/>
      <c r="AD29" s="7"/>
    </row>
    <row r="30" spans="4:30" s="3" customFormat="1" ht="24.95" customHeight="1" x14ac:dyDescent="0.2">
      <c r="D30" s="18"/>
      <c r="E30" s="18"/>
      <c r="F30" s="509" t="s">
        <v>489</v>
      </c>
      <c r="G30" s="509"/>
      <c r="H30" s="509"/>
      <c r="I30" s="509"/>
      <c r="J30" s="7"/>
      <c r="K30" s="1363">
        <v>9.4E-2</v>
      </c>
      <c r="L30" s="1364"/>
      <c r="M30" s="1365"/>
      <c r="N30" s="1363">
        <v>0.52900000000000003</v>
      </c>
      <c r="O30" s="1364"/>
      <c r="P30" s="1365"/>
      <c r="Q30" s="1363">
        <v>0.18</v>
      </c>
      <c r="R30" s="1364"/>
      <c r="S30" s="1365"/>
      <c r="T30" s="1363">
        <v>0.35599999999999998</v>
      </c>
      <c r="U30" s="1364"/>
      <c r="V30" s="1365"/>
      <c r="W30" s="1363">
        <v>9.7000000000000003E-2</v>
      </c>
      <c r="X30" s="1364"/>
      <c r="Y30" s="1365"/>
      <c r="Z30" s="1363">
        <v>0.24199999999999999</v>
      </c>
      <c r="AA30" s="1364"/>
      <c r="AB30" s="1365"/>
      <c r="AC30" s="23"/>
      <c r="AD30" s="7"/>
    </row>
    <row r="31" spans="4:30" s="3" customFormat="1" ht="24.95" customHeight="1" x14ac:dyDescent="0.2">
      <c r="D31" s="18"/>
      <c r="E31" s="18"/>
      <c r="F31" s="509" t="s">
        <v>490</v>
      </c>
      <c r="G31" s="509"/>
      <c r="H31" s="509"/>
      <c r="I31" s="509"/>
      <c r="J31" s="7"/>
      <c r="K31" s="1363">
        <v>9.0999999999999998E-2</v>
      </c>
      <c r="L31" s="1364"/>
      <c r="M31" s="1365"/>
      <c r="N31" s="1363">
        <v>0.61299999999999999</v>
      </c>
      <c r="O31" s="1364"/>
      <c r="P31" s="1365"/>
      <c r="Q31" s="1363">
        <v>0.23200000000000001</v>
      </c>
      <c r="R31" s="1364"/>
      <c r="S31" s="1365"/>
      <c r="T31" s="1363">
        <v>0.40799999999999997</v>
      </c>
      <c r="U31" s="1364"/>
      <c r="V31" s="1365"/>
      <c r="W31" s="1363">
        <v>9.7000000000000003E-2</v>
      </c>
      <c r="X31" s="1364"/>
      <c r="Y31" s="1365"/>
      <c r="Z31" s="1363">
        <v>0.217</v>
      </c>
      <c r="AA31" s="1364"/>
      <c r="AB31" s="1365"/>
      <c r="AC31" s="23"/>
      <c r="AD31" s="7"/>
    </row>
    <row r="32" spans="4:30" s="3" customFormat="1" ht="24.95" customHeight="1" x14ac:dyDescent="0.2">
      <c r="D32" s="18"/>
      <c r="E32" s="18"/>
      <c r="F32" s="509" t="s">
        <v>493</v>
      </c>
      <c r="G32" s="509"/>
      <c r="H32" s="509"/>
      <c r="I32" s="509"/>
      <c r="J32" s="7"/>
      <c r="K32" s="1363">
        <v>0.111</v>
      </c>
      <c r="L32" s="1364"/>
      <c r="M32" s="1365"/>
      <c r="N32" s="1363">
        <v>0.64</v>
      </c>
      <c r="O32" s="1364"/>
      <c r="P32" s="1365"/>
      <c r="Q32" s="1363">
        <v>0.24</v>
      </c>
      <c r="R32" s="1364"/>
      <c r="S32" s="1365"/>
      <c r="T32" s="1363">
        <v>0.45200000000000001</v>
      </c>
      <c r="U32" s="1364"/>
      <c r="V32" s="1365"/>
      <c r="W32" s="1363">
        <v>0.108</v>
      </c>
      <c r="X32" s="1364"/>
      <c r="Y32" s="1365"/>
      <c r="Z32" s="1363">
        <v>0.14699999999999999</v>
      </c>
      <c r="AA32" s="1364"/>
      <c r="AB32" s="1365"/>
      <c r="AC32" s="23"/>
      <c r="AD32" s="7"/>
    </row>
    <row r="33" spans="4:30" s="3" customFormat="1" ht="24.95" customHeight="1" x14ac:dyDescent="0.2">
      <c r="D33" s="18"/>
      <c r="E33" s="18"/>
      <c r="F33" s="509" t="s">
        <v>38</v>
      </c>
      <c r="G33" s="509"/>
      <c r="H33" s="509"/>
      <c r="I33" s="509"/>
      <c r="J33" s="7"/>
      <c r="K33" s="1363">
        <v>0.123</v>
      </c>
      <c r="L33" s="1364"/>
      <c r="M33" s="1365"/>
      <c r="N33" s="1363">
        <v>0.63100000000000001</v>
      </c>
      <c r="O33" s="1364"/>
      <c r="P33" s="1365"/>
      <c r="Q33" s="1363">
        <v>0.246</v>
      </c>
      <c r="R33" s="1364"/>
      <c r="S33" s="1365"/>
      <c r="T33" s="1363">
        <v>0.51200000000000001</v>
      </c>
      <c r="U33" s="1364"/>
      <c r="V33" s="1365"/>
      <c r="W33" s="1363">
        <v>0.154</v>
      </c>
      <c r="X33" s="1364"/>
      <c r="Y33" s="1365"/>
      <c r="Z33" s="1363">
        <v>0.11</v>
      </c>
      <c r="AA33" s="1364"/>
      <c r="AB33" s="1365"/>
      <c r="AC33" s="23"/>
      <c r="AD33" s="7"/>
    </row>
    <row r="34" spans="4:30" s="3" customFormat="1" ht="24.95" customHeight="1" x14ac:dyDescent="0.2">
      <c r="D34" s="18"/>
      <c r="E34" s="18"/>
      <c r="F34" s="509" t="s">
        <v>492</v>
      </c>
      <c r="G34" s="509"/>
      <c r="H34" s="509"/>
      <c r="I34" s="509"/>
      <c r="J34" s="7"/>
      <c r="K34" s="1363">
        <v>0.123</v>
      </c>
      <c r="L34" s="1364"/>
      <c r="M34" s="1365"/>
      <c r="N34" s="1363">
        <v>0.63100000000000001</v>
      </c>
      <c r="O34" s="1364"/>
      <c r="P34" s="1365"/>
      <c r="Q34" s="1363">
        <v>0.246</v>
      </c>
      <c r="R34" s="1364"/>
      <c r="S34" s="1365"/>
      <c r="T34" s="1363">
        <v>0.51200000000000001</v>
      </c>
      <c r="U34" s="1364"/>
      <c r="V34" s="1365"/>
      <c r="W34" s="1363">
        <v>0.154</v>
      </c>
      <c r="X34" s="1364"/>
      <c r="Y34" s="1365"/>
      <c r="Z34" s="1363">
        <v>0.11</v>
      </c>
      <c r="AA34" s="1364"/>
      <c r="AB34" s="1365"/>
      <c r="AC34" s="23"/>
      <c r="AD34" s="7"/>
    </row>
    <row r="35" spans="4:30" s="3" customFormat="1" ht="24.95" customHeight="1" x14ac:dyDescent="0.2">
      <c r="D35" s="18"/>
      <c r="E35" s="18"/>
      <c r="F35" s="509" t="s">
        <v>491</v>
      </c>
      <c r="G35" s="509"/>
      <c r="H35" s="509"/>
      <c r="I35" s="509"/>
      <c r="J35" s="7"/>
      <c r="K35" s="1363">
        <v>6.0999999999999999E-2</v>
      </c>
      <c r="L35" s="1364"/>
      <c r="M35" s="1365"/>
      <c r="N35" s="1363">
        <v>0.60599999999999998</v>
      </c>
      <c r="O35" s="1364"/>
      <c r="P35" s="1365"/>
      <c r="Q35" s="1363">
        <v>0.215</v>
      </c>
      <c r="R35" s="1364"/>
      <c r="S35" s="1365"/>
      <c r="T35" s="1363">
        <v>0.69199999999999995</v>
      </c>
      <c r="U35" s="1364"/>
      <c r="V35" s="1365"/>
      <c r="W35" s="1363">
        <v>0.33200000000000002</v>
      </c>
      <c r="X35" s="1364"/>
      <c r="Y35" s="1365"/>
      <c r="Z35" s="1363">
        <v>4.1000000000000002E-2</v>
      </c>
      <c r="AA35" s="1364"/>
      <c r="AB35" s="1365"/>
      <c r="AC35" s="23"/>
      <c r="AD35" s="7"/>
    </row>
    <row r="36" spans="4:30" s="3" customFormat="1" ht="15.75" customHeight="1" x14ac:dyDescent="0.2">
      <c r="D36" s="18"/>
      <c r="E36" s="18"/>
      <c r="F36" s="7"/>
      <c r="G36" s="7"/>
      <c r="H36" s="7"/>
      <c r="I36" s="7"/>
      <c r="J36" s="7"/>
      <c r="K36" s="7"/>
      <c r="L36" s="7"/>
      <c r="M36" s="7"/>
      <c r="N36" s="7"/>
      <c r="O36" s="7"/>
      <c r="P36" s="7"/>
      <c r="Q36" s="7"/>
      <c r="R36" s="7"/>
      <c r="S36" s="7"/>
      <c r="T36" s="7"/>
      <c r="U36" s="7"/>
      <c r="V36" s="7"/>
      <c r="W36" s="7"/>
      <c r="X36" s="7"/>
      <c r="Y36" s="7"/>
      <c r="Z36" s="7"/>
      <c r="AA36" s="7"/>
      <c r="AB36" s="7"/>
      <c r="AC36" s="7"/>
      <c r="AD36" s="7"/>
    </row>
    <row r="37" spans="4:30" s="3" customFormat="1" ht="15.75" customHeight="1" x14ac:dyDescent="0.2">
      <c r="D37" s="11"/>
      <c r="E37" s="11"/>
      <c r="F37" s="1360" t="s">
        <v>548</v>
      </c>
      <c r="G37" s="1361"/>
      <c r="H37" s="1361"/>
      <c r="I37" s="1361"/>
      <c r="J37" s="1361"/>
      <c r="K37" s="1361"/>
      <c r="L37" s="1361"/>
      <c r="M37" s="1361"/>
      <c r="N37" s="1361"/>
      <c r="O37" s="1361"/>
      <c r="P37" s="1361"/>
      <c r="Q37" s="1361"/>
      <c r="R37" s="1361"/>
      <c r="S37" s="1361"/>
      <c r="T37" s="1361"/>
      <c r="U37" s="1361"/>
      <c r="V37" s="1361"/>
      <c r="W37" s="1361"/>
      <c r="X37" s="1361"/>
      <c r="Y37" s="1361"/>
      <c r="Z37" s="1361"/>
      <c r="AA37" s="1361"/>
      <c r="AB37" s="1362"/>
    </row>
    <row r="38" spans="4:30" s="3" customFormat="1" ht="7.5" customHeight="1" x14ac:dyDescent="0.2">
      <c r="D38" s="18"/>
      <c r="E38" s="18"/>
      <c r="F38" s="7"/>
      <c r="G38" s="7"/>
      <c r="H38" s="7"/>
      <c r="I38" s="7"/>
      <c r="J38" s="7"/>
      <c r="K38" s="7"/>
      <c r="L38" s="7"/>
      <c r="M38" s="7"/>
      <c r="N38" s="7"/>
      <c r="O38" s="7"/>
      <c r="P38" s="7"/>
      <c r="Q38" s="7"/>
      <c r="R38" s="7"/>
      <c r="S38" s="7"/>
      <c r="T38" s="7"/>
      <c r="U38" s="7"/>
      <c r="V38" s="7"/>
      <c r="W38" s="7"/>
      <c r="X38" s="7"/>
      <c r="Y38" s="7"/>
      <c r="Z38" s="7"/>
      <c r="AA38" s="7"/>
      <c r="AB38" s="7"/>
      <c r="AC38" s="7"/>
      <c r="AD38" s="7"/>
    </row>
    <row r="39" spans="4:30" s="3" customFormat="1" ht="15.75" customHeight="1" x14ac:dyDescent="0.2">
      <c r="D39" s="18"/>
      <c r="E39" s="18"/>
      <c r="F39" s="660" t="s">
        <v>263</v>
      </c>
      <c r="G39" s="661"/>
      <c r="H39" s="661"/>
      <c r="I39" s="662"/>
      <c r="J39" s="7"/>
      <c r="K39" s="669" t="s">
        <v>294</v>
      </c>
      <c r="L39" s="670"/>
      <c r="M39" s="670"/>
      <c r="N39" s="670"/>
      <c r="O39" s="670"/>
      <c r="P39" s="670"/>
      <c r="Q39" s="670"/>
      <c r="R39" s="670"/>
      <c r="S39" s="670"/>
      <c r="T39" s="670"/>
      <c r="U39" s="670"/>
      <c r="V39" s="670"/>
      <c r="W39" s="670"/>
      <c r="X39" s="670"/>
      <c r="Y39" s="670"/>
      <c r="Z39" s="670"/>
      <c r="AA39" s="670"/>
      <c r="AB39" s="671"/>
      <c r="AC39" s="7"/>
      <c r="AD39" s="7"/>
    </row>
    <row r="40" spans="4:30" s="3" customFormat="1" ht="24.95" customHeight="1" x14ac:dyDescent="0.2">
      <c r="D40" s="18"/>
      <c r="E40" s="18"/>
      <c r="F40" s="663"/>
      <c r="G40" s="664"/>
      <c r="H40" s="664"/>
      <c r="I40" s="665"/>
      <c r="J40" s="7"/>
      <c r="K40" s="484" t="s">
        <v>289</v>
      </c>
      <c r="L40" s="485"/>
      <c r="M40" s="486"/>
      <c r="N40" s="484" t="s">
        <v>290</v>
      </c>
      <c r="O40" s="485"/>
      <c r="P40" s="486"/>
      <c r="Q40" s="484" t="s">
        <v>291</v>
      </c>
      <c r="R40" s="485"/>
      <c r="S40" s="486"/>
      <c r="T40" s="484" t="s">
        <v>292</v>
      </c>
      <c r="U40" s="485"/>
      <c r="V40" s="486"/>
      <c r="W40" s="484" t="s">
        <v>293</v>
      </c>
      <c r="X40" s="485"/>
      <c r="Y40" s="486"/>
      <c r="Z40" s="484" t="s">
        <v>295</v>
      </c>
      <c r="AA40" s="485"/>
      <c r="AB40" s="486"/>
      <c r="AC40" s="23"/>
      <c r="AD40" s="7"/>
    </row>
    <row r="41" spans="4:30" s="3" customFormat="1" ht="24.95" customHeight="1" x14ac:dyDescent="0.2">
      <c r="D41" s="18"/>
      <c r="E41" s="18"/>
      <c r="F41" s="509" t="s">
        <v>488</v>
      </c>
      <c r="G41" s="509"/>
      <c r="H41" s="509"/>
      <c r="I41" s="509"/>
      <c r="J41" s="7"/>
      <c r="K41" s="569">
        <f>' POP. ALVO'!K155</f>
        <v>17.956</v>
      </c>
      <c r="L41" s="569"/>
      <c r="M41" s="569"/>
      <c r="N41" s="569">
        <f>' POP. ALVO'!N155</f>
        <v>86.028000000000006</v>
      </c>
      <c r="O41" s="569"/>
      <c r="P41" s="569"/>
      <c r="Q41" s="569">
        <f>' POP. ALVO'!Q155</f>
        <v>19.832000000000001</v>
      </c>
      <c r="R41" s="569"/>
      <c r="S41" s="569"/>
      <c r="T41" s="569">
        <f>' POP. ALVO'!T155</f>
        <v>95.676000000000002</v>
      </c>
      <c r="U41" s="569"/>
      <c r="V41" s="569"/>
      <c r="W41" s="569">
        <f>' POP. ALVO'!W155</f>
        <v>33.5</v>
      </c>
      <c r="X41" s="569"/>
      <c r="Y41" s="569"/>
      <c r="Z41" s="569">
        <f>' POP. ALVO'!Z155</f>
        <v>61.64</v>
      </c>
      <c r="AA41" s="569"/>
      <c r="AB41" s="569"/>
      <c r="AC41" s="23"/>
      <c r="AD41" s="7"/>
    </row>
    <row r="42" spans="4:30" s="3" customFormat="1" ht="24.95" customHeight="1" x14ac:dyDescent="0.2">
      <c r="D42" s="18"/>
      <c r="E42" s="18"/>
      <c r="F42" s="509" t="s">
        <v>489</v>
      </c>
      <c r="G42" s="509"/>
      <c r="H42" s="509"/>
      <c r="I42" s="509"/>
      <c r="J42" s="7"/>
      <c r="K42" s="842">
        <f>' POP. ALVO'!K156</f>
        <v>50.008000000000003</v>
      </c>
      <c r="L42" s="843"/>
      <c r="M42" s="844"/>
      <c r="N42" s="569">
        <f>' POP. ALVO'!N156</f>
        <v>281.428</v>
      </c>
      <c r="O42" s="569"/>
      <c r="P42" s="569"/>
      <c r="Q42" s="569">
        <f>' POP. ALVO'!Q156</f>
        <v>95.759999999999991</v>
      </c>
      <c r="R42" s="569"/>
      <c r="S42" s="569"/>
      <c r="T42" s="569">
        <f>' POP. ALVO'!T156</f>
        <v>189.392</v>
      </c>
      <c r="U42" s="569"/>
      <c r="V42" s="569"/>
      <c r="W42" s="569">
        <f>' POP. ALVO'!W156</f>
        <v>51.603999999999999</v>
      </c>
      <c r="X42" s="569"/>
      <c r="Y42" s="569"/>
      <c r="Z42" s="569">
        <f>' POP. ALVO'!Z156</f>
        <v>128.744</v>
      </c>
      <c r="AA42" s="569"/>
      <c r="AB42" s="569"/>
      <c r="AC42" s="23"/>
      <c r="AD42" s="7"/>
    </row>
    <row r="43" spans="4:30" s="3" customFormat="1" ht="24.95" customHeight="1" x14ac:dyDescent="0.2">
      <c r="D43" s="18"/>
      <c r="E43" s="18"/>
      <c r="F43" s="509" t="s">
        <v>490</v>
      </c>
      <c r="G43" s="509"/>
      <c r="H43" s="509"/>
      <c r="I43" s="509"/>
      <c r="J43" s="7"/>
      <c r="K43" s="842">
        <f>' POP. ALVO'!K157</f>
        <v>42.132999999999996</v>
      </c>
      <c r="L43" s="843"/>
      <c r="M43" s="844"/>
      <c r="N43" s="569">
        <f>' POP. ALVO'!N157</f>
        <v>283.81900000000002</v>
      </c>
      <c r="O43" s="569"/>
      <c r="P43" s="569"/>
      <c r="Q43" s="569">
        <f>' POP. ALVO'!Q157</f>
        <v>107.41600000000001</v>
      </c>
      <c r="R43" s="569"/>
      <c r="S43" s="569"/>
      <c r="T43" s="569">
        <f>' POP. ALVO'!T157</f>
        <v>188.904</v>
      </c>
      <c r="U43" s="569"/>
      <c r="V43" s="569"/>
      <c r="W43" s="569">
        <f>' POP. ALVO'!W157</f>
        <v>44.911000000000001</v>
      </c>
      <c r="X43" s="569"/>
      <c r="Y43" s="569"/>
      <c r="Z43" s="569">
        <f>' POP. ALVO'!Z157</f>
        <v>100.471</v>
      </c>
      <c r="AA43" s="569"/>
      <c r="AB43" s="569"/>
      <c r="AC43" s="23"/>
      <c r="AD43" s="7"/>
    </row>
    <row r="44" spans="4:30" s="3" customFormat="1" ht="24.95" customHeight="1" x14ac:dyDescent="0.2">
      <c r="D44" s="18"/>
      <c r="E44" s="18"/>
      <c r="F44" s="509" t="s">
        <v>493</v>
      </c>
      <c r="G44" s="509"/>
      <c r="H44" s="509"/>
      <c r="I44" s="509"/>
      <c r="J44" s="7"/>
      <c r="K44" s="842">
        <f>' POP. ALVO'!K158</f>
        <v>49.616999999999997</v>
      </c>
      <c r="L44" s="843"/>
      <c r="M44" s="844"/>
      <c r="N44" s="569">
        <f>' POP. ALVO'!N158</f>
        <v>286.08</v>
      </c>
      <c r="O44" s="569"/>
      <c r="P44" s="569"/>
      <c r="Q44" s="569">
        <f>' POP. ALVO'!Q158</f>
        <v>107.28</v>
      </c>
      <c r="R44" s="569"/>
      <c r="S44" s="569"/>
      <c r="T44" s="569">
        <f>' POP. ALVO'!T158</f>
        <v>202.04400000000001</v>
      </c>
      <c r="U44" s="569"/>
      <c r="V44" s="569"/>
      <c r="W44" s="569">
        <f>' POP. ALVO'!W158</f>
        <v>48.275999999999996</v>
      </c>
      <c r="X44" s="569"/>
      <c r="Y44" s="569"/>
      <c r="Z44" s="569">
        <f>' POP. ALVO'!Z158</f>
        <v>65.709000000000003</v>
      </c>
      <c r="AA44" s="569"/>
      <c r="AB44" s="569"/>
      <c r="AC44" s="23"/>
      <c r="AD44" s="7"/>
    </row>
    <row r="45" spans="4:30" s="3" customFormat="1" ht="24.95" customHeight="1" x14ac:dyDescent="0.2">
      <c r="D45" s="18"/>
      <c r="E45" s="18"/>
      <c r="F45" s="509" t="s">
        <v>38</v>
      </c>
      <c r="G45" s="509"/>
      <c r="H45" s="509"/>
      <c r="I45" s="509"/>
      <c r="J45" s="7"/>
      <c r="K45" s="842">
        <f>' POP. ALVO'!K159</f>
        <v>30.75</v>
      </c>
      <c r="L45" s="843"/>
      <c r="M45" s="844"/>
      <c r="N45" s="569">
        <f>' POP. ALVO'!N159</f>
        <v>157.75</v>
      </c>
      <c r="O45" s="569"/>
      <c r="P45" s="569"/>
      <c r="Q45" s="569">
        <f>' POP. ALVO'!Q159</f>
        <v>61.5</v>
      </c>
      <c r="R45" s="569"/>
      <c r="S45" s="569"/>
      <c r="T45" s="569">
        <f>' POP. ALVO'!T159</f>
        <v>128</v>
      </c>
      <c r="U45" s="569"/>
      <c r="V45" s="569"/>
      <c r="W45" s="569">
        <f>' POP. ALVO'!W159</f>
        <v>38.5</v>
      </c>
      <c r="X45" s="569"/>
      <c r="Y45" s="569"/>
      <c r="Z45" s="569">
        <f>' POP. ALVO'!Z159</f>
        <v>27.5</v>
      </c>
      <c r="AA45" s="569"/>
      <c r="AB45" s="569"/>
      <c r="AC45" s="23"/>
      <c r="AD45" s="7"/>
    </row>
    <row r="46" spans="4:30" s="3" customFormat="1" ht="24.95" customHeight="1" x14ac:dyDescent="0.2">
      <c r="D46" s="18"/>
      <c r="E46" s="18"/>
      <c r="F46" s="509" t="s">
        <v>492</v>
      </c>
      <c r="G46" s="509"/>
      <c r="H46" s="509"/>
      <c r="I46" s="509"/>
      <c r="J46" s="7"/>
      <c r="K46" s="842">
        <f>' POP. ALVO'!K160</f>
        <v>6.15</v>
      </c>
      <c r="L46" s="843"/>
      <c r="M46" s="844"/>
      <c r="N46" s="569">
        <f>' POP. ALVO'!N160</f>
        <v>31.55</v>
      </c>
      <c r="O46" s="569"/>
      <c r="P46" s="569"/>
      <c r="Q46" s="569">
        <f>' POP. ALVO'!Q160</f>
        <v>12.3</v>
      </c>
      <c r="R46" s="569"/>
      <c r="S46" s="569"/>
      <c r="T46" s="569">
        <f>' POP. ALVO'!T160</f>
        <v>25.6</v>
      </c>
      <c r="U46" s="569"/>
      <c r="V46" s="569"/>
      <c r="W46" s="569">
        <f>' POP. ALVO'!W160</f>
        <v>7.7</v>
      </c>
      <c r="X46" s="569"/>
      <c r="Y46" s="569"/>
      <c r="Z46" s="569">
        <f>' POP. ALVO'!Z160</f>
        <v>5.5</v>
      </c>
      <c r="AA46" s="569"/>
      <c r="AB46" s="569"/>
      <c r="AC46" s="23"/>
      <c r="AD46" s="7"/>
    </row>
    <row r="47" spans="4:30" s="3" customFormat="1" ht="24.95" customHeight="1" x14ac:dyDescent="0.2">
      <c r="D47" s="18"/>
      <c r="E47" s="18"/>
      <c r="F47" s="509" t="s">
        <v>491</v>
      </c>
      <c r="G47" s="509"/>
      <c r="H47" s="509"/>
      <c r="I47" s="509"/>
      <c r="J47" s="7"/>
      <c r="K47" s="1366">
        <f>' POP. ALVO'!K161</f>
        <v>5.49</v>
      </c>
      <c r="L47" s="1367"/>
      <c r="M47" s="1368"/>
      <c r="N47" s="569">
        <f>' POP. ALVO'!N161</f>
        <v>54.54</v>
      </c>
      <c r="O47" s="569"/>
      <c r="P47" s="569"/>
      <c r="Q47" s="569">
        <f>' POP. ALVO'!Q161</f>
        <v>19.350000000000001</v>
      </c>
      <c r="R47" s="569"/>
      <c r="S47" s="569"/>
      <c r="T47" s="569">
        <f>' POP. ALVO'!T161</f>
        <v>62.279999999999994</v>
      </c>
      <c r="U47" s="569"/>
      <c r="V47" s="569"/>
      <c r="W47" s="569">
        <f>' POP. ALVO'!W161</f>
        <v>29.880000000000003</v>
      </c>
      <c r="X47" s="569"/>
      <c r="Y47" s="569"/>
      <c r="Z47" s="569">
        <f>' POP. ALVO'!Z161</f>
        <v>3.69</v>
      </c>
      <c r="AA47" s="569"/>
      <c r="AB47" s="569"/>
      <c r="AC47" s="23"/>
      <c r="AD47" s="7"/>
    </row>
    <row r="48" spans="4:30" s="3" customFormat="1" ht="24.95" customHeight="1" x14ac:dyDescent="0.2">
      <c r="D48" s="18"/>
      <c r="E48" s="18"/>
      <c r="F48" s="847" t="s">
        <v>301</v>
      </c>
      <c r="G48" s="847"/>
      <c r="H48" s="847"/>
      <c r="I48" s="847"/>
      <c r="J48" s="24"/>
      <c r="K48" s="845">
        <f>SUM(K41:M47)</f>
        <v>202.10400000000001</v>
      </c>
      <c r="L48" s="845"/>
      <c r="M48" s="845"/>
      <c r="N48" s="845">
        <f>SUM(N41:P47)</f>
        <v>1181.1949999999999</v>
      </c>
      <c r="O48" s="845"/>
      <c r="P48" s="845"/>
      <c r="Q48" s="845">
        <f>SUM(Q41:S47)</f>
        <v>423.43800000000005</v>
      </c>
      <c r="R48" s="845"/>
      <c r="S48" s="845"/>
      <c r="T48" s="845">
        <f>SUM(T41:V47)</f>
        <v>891.89599999999996</v>
      </c>
      <c r="U48" s="845"/>
      <c r="V48" s="845"/>
      <c r="W48" s="845">
        <f>SUM(W41:Y47)</f>
        <v>254.37099999999998</v>
      </c>
      <c r="X48" s="845"/>
      <c r="Y48" s="845"/>
      <c r="Z48" s="845">
        <f>SUM(Z41:AB47)</f>
        <v>393.25400000000002</v>
      </c>
      <c r="AA48" s="845"/>
      <c r="AB48" s="845"/>
      <c r="AC48" s="23"/>
      <c r="AD48" s="7"/>
    </row>
    <row r="49" spans="1:32" s="3" customFormat="1" ht="7.5" customHeight="1" x14ac:dyDescent="0.2">
      <c r="D49" s="18"/>
      <c r="E49" s="18"/>
      <c r="F49" s="235"/>
      <c r="G49" s="235"/>
      <c r="H49" s="235"/>
      <c r="I49" s="235"/>
      <c r="J49" s="7"/>
      <c r="K49" s="29"/>
      <c r="L49" s="235"/>
      <c r="M49" s="235"/>
      <c r="N49" s="29"/>
      <c r="O49" s="235"/>
      <c r="P49" s="235"/>
      <c r="Q49" s="29"/>
      <c r="R49" s="235"/>
      <c r="S49" s="235"/>
      <c r="T49" s="29"/>
      <c r="U49" s="235"/>
      <c r="V49" s="235"/>
      <c r="W49" s="29"/>
      <c r="X49" s="235"/>
      <c r="Y49" s="235"/>
      <c r="Z49" s="29"/>
      <c r="AA49" s="235"/>
      <c r="AB49" s="235"/>
      <c r="AC49" s="23"/>
      <c r="AD49" s="7"/>
    </row>
    <row r="50" spans="1:32" s="3" customFormat="1" ht="24.95" customHeight="1" x14ac:dyDescent="0.2">
      <c r="D50" s="18"/>
      <c r="E50" s="18"/>
      <c r="F50" s="679" t="s">
        <v>228</v>
      </c>
      <c r="G50" s="680"/>
      <c r="H50" s="680"/>
      <c r="I50" s="681"/>
      <c r="J50" s="7"/>
      <c r="K50" s="846">
        <f>(CADASTRO!AU15+CADASTRO!AU17+CADASTRO!AU18+CADASTRO!AU19+CADASTRO!AU20+CADASTRO!AU21+CADASTRO!AU22)</f>
        <v>1190</v>
      </c>
      <c r="L50" s="509"/>
      <c r="M50" s="509"/>
      <c r="N50" s="30"/>
      <c r="O50" s="30"/>
      <c r="P50" s="30"/>
      <c r="Q50" s="30"/>
      <c r="R50" s="30"/>
      <c r="S50" s="30"/>
      <c r="T50" s="30"/>
      <c r="U50" s="30"/>
      <c r="V50" s="30"/>
      <c r="W50" s="30"/>
      <c r="X50" s="30"/>
      <c r="Y50" s="30"/>
      <c r="Z50" s="30"/>
      <c r="AA50" s="30"/>
      <c r="AB50" s="30"/>
      <c r="AC50" s="23"/>
      <c r="AD50" s="7"/>
    </row>
    <row r="51" spans="1:32" s="3" customFormat="1" ht="24.95" customHeight="1" x14ac:dyDescent="0.2">
      <c r="D51" s="18"/>
      <c r="E51" s="18"/>
      <c r="F51" s="235"/>
      <c r="G51" s="235"/>
      <c r="H51" s="235"/>
      <c r="I51" s="235"/>
      <c r="J51" s="7"/>
      <c r="K51" s="29"/>
      <c r="L51" s="235"/>
      <c r="M51" s="235"/>
      <c r="N51" s="30"/>
      <c r="O51" s="30"/>
      <c r="P51" s="30"/>
      <c r="Q51" s="30"/>
      <c r="R51" s="30"/>
      <c r="S51" s="30"/>
      <c r="T51" s="30"/>
      <c r="U51" s="30"/>
      <c r="V51" s="30"/>
      <c r="W51" s="30"/>
      <c r="X51" s="30"/>
      <c r="Y51" s="30"/>
      <c r="Z51" s="30"/>
      <c r="AA51" s="30"/>
      <c r="AB51" s="30"/>
      <c r="AC51" s="23"/>
      <c r="AD51" s="7"/>
    </row>
    <row r="52" spans="1:32" s="3" customFormat="1" ht="15.75" customHeight="1" x14ac:dyDescent="0.2">
      <c r="D52" s="18"/>
      <c r="E52" s="18"/>
      <c r="F52" s="7"/>
      <c r="G52" s="7"/>
      <c r="H52" s="7"/>
      <c r="I52" s="7"/>
      <c r="J52" s="7"/>
      <c r="K52" s="7"/>
      <c r="L52" s="7"/>
      <c r="M52" s="7"/>
      <c r="N52" s="7"/>
      <c r="O52" s="7"/>
      <c r="P52" s="7"/>
      <c r="Q52" s="7"/>
      <c r="R52" s="7"/>
      <c r="S52" s="7"/>
      <c r="T52" s="7"/>
      <c r="U52" s="7"/>
      <c r="V52" s="7"/>
      <c r="W52" s="7"/>
      <c r="X52" s="7"/>
      <c r="Y52" s="7"/>
      <c r="Z52" s="7"/>
      <c r="AA52" s="7"/>
      <c r="AB52" s="7"/>
      <c r="AC52" s="7"/>
      <c r="AD52" s="7"/>
    </row>
    <row r="53" spans="1:32" s="3" customFormat="1" ht="32.25" customHeight="1" x14ac:dyDescent="0.2">
      <c r="C53" s="4"/>
      <c r="F53" s="1372" t="s">
        <v>713</v>
      </c>
      <c r="G53" s="1373"/>
      <c r="H53" s="1373"/>
      <c r="I53" s="1373"/>
      <c r="J53" s="1373"/>
      <c r="K53" s="1373"/>
      <c r="L53" s="1373"/>
      <c r="M53" s="1373"/>
      <c r="N53" s="1373"/>
      <c r="O53" s="1373"/>
      <c r="P53" s="1373"/>
      <c r="Q53" s="1373"/>
      <c r="R53" s="1374"/>
      <c r="S53" s="251"/>
      <c r="T53" s="980" t="s">
        <v>544</v>
      </c>
      <c r="U53" s="981"/>
      <c r="V53" s="982"/>
      <c r="W53" s="980" t="s">
        <v>606</v>
      </c>
      <c r="X53" s="981"/>
      <c r="Y53" s="981"/>
      <c r="Z53" s="982"/>
      <c r="AA53" s="48"/>
      <c r="AB53" s="48"/>
      <c r="AC53" s="48"/>
      <c r="AD53" s="48"/>
      <c r="AE53" s="48"/>
      <c r="AF53" s="48"/>
    </row>
    <row r="54" spans="1:32" s="3" customFormat="1" ht="32.25" customHeight="1" x14ac:dyDescent="0.2">
      <c r="A54" s="491"/>
      <c r="B54" s="491"/>
      <c r="C54" s="491"/>
      <c r="D54" s="491"/>
      <c r="F54" s="977" t="s">
        <v>414</v>
      </c>
      <c r="G54" s="978"/>
      <c r="H54" s="978"/>
      <c r="I54" s="978"/>
      <c r="J54" s="978"/>
      <c r="K54" s="978"/>
      <c r="L54" s="979"/>
      <c r="M54" s="977" t="s">
        <v>602</v>
      </c>
      <c r="N54" s="978"/>
      <c r="O54" s="979"/>
      <c r="P54" s="977" t="s">
        <v>594</v>
      </c>
      <c r="Q54" s="978"/>
      <c r="R54" s="979"/>
      <c r="S54" s="1"/>
      <c r="T54" s="986"/>
      <c r="U54" s="987"/>
      <c r="V54" s="988"/>
      <c r="W54" s="986"/>
      <c r="X54" s="987"/>
      <c r="Y54" s="987"/>
      <c r="Z54" s="988"/>
      <c r="AA54" s="49"/>
      <c r="AB54" s="49"/>
      <c r="AC54" s="49"/>
      <c r="AD54" s="49"/>
      <c r="AE54" s="48"/>
      <c r="AF54" s="48"/>
    </row>
    <row r="55" spans="1:32" s="3" customFormat="1" ht="32.25" customHeight="1" x14ac:dyDescent="0.2">
      <c r="A55" s="491"/>
      <c r="B55" s="491"/>
      <c r="C55" s="491"/>
      <c r="D55" s="491"/>
      <c r="F55" s="1377" t="s">
        <v>417</v>
      </c>
      <c r="G55" s="1377"/>
      <c r="H55" s="1377"/>
      <c r="I55" s="1377"/>
      <c r="J55" s="784">
        <f>PREVENÇÃO!K48</f>
        <v>202.10400000000001</v>
      </c>
      <c r="K55" s="785"/>
      <c r="L55" s="786"/>
      <c r="M55" s="784">
        <f>' POP. ALVO'!M168</f>
        <v>21</v>
      </c>
      <c r="N55" s="785"/>
      <c r="O55" s="786"/>
      <c r="P55" s="1369">
        <f>M55/J55</f>
        <v>0.10390689941812135</v>
      </c>
      <c r="Q55" s="1370"/>
      <c r="R55" s="1371"/>
      <c r="S55" s="252"/>
      <c r="T55" s="1369">
        <v>1</v>
      </c>
      <c r="U55" s="1370"/>
      <c r="V55" s="1371"/>
      <c r="W55" s="784">
        <f>' POP. ALVO'!V168</f>
        <v>101.05200000000001</v>
      </c>
      <c r="X55" s="785"/>
      <c r="Y55" s="785"/>
      <c r="Z55" s="786"/>
      <c r="AA55" s="25"/>
      <c r="AB55" s="25"/>
      <c r="AC55" s="25"/>
      <c r="AD55" s="25"/>
      <c r="AE55" s="25"/>
      <c r="AF55" s="25"/>
    </row>
    <row r="56" spans="1:32" s="3" customFormat="1" ht="32.25" customHeight="1" x14ac:dyDescent="0.2">
      <c r="A56" s="491"/>
      <c r="B56" s="491"/>
      <c r="C56" s="491"/>
      <c r="D56" s="491"/>
      <c r="F56" s="1377" t="s">
        <v>418</v>
      </c>
      <c r="G56" s="1377"/>
      <c r="H56" s="1377"/>
      <c r="I56" s="1377"/>
      <c r="J56" s="784">
        <f>(PREVENÇÃO!N48+PREVENÇÃO!Q48)</f>
        <v>1604.633</v>
      </c>
      <c r="K56" s="785"/>
      <c r="L56" s="786"/>
      <c r="M56" s="784">
        <f>' POP. ALVO'!M169</f>
        <v>50</v>
      </c>
      <c r="N56" s="785"/>
      <c r="O56" s="786"/>
      <c r="P56" s="1369">
        <f>M56/J56</f>
        <v>3.1159772982357958E-2</v>
      </c>
      <c r="Q56" s="1370"/>
      <c r="R56" s="1371"/>
      <c r="S56" s="127"/>
      <c r="T56" s="1369">
        <v>1</v>
      </c>
      <c r="U56" s="1370"/>
      <c r="V56" s="1371"/>
      <c r="W56" s="784">
        <f>' POP. ALVO'!V169</f>
        <v>802.31650000000002</v>
      </c>
      <c r="X56" s="785"/>
      <c r="Y56" s="785"/>
      <c r="Z56" s="786"/>
      <c r="AA56" s="25"/>
      <c r="AB56" s="25"/>
      <c r="AC56" s="25"/>
      <c r="AD56" s="25"/>
      <c r="AE56" s="25"/>
      <c r="AF56" s="25"/>
    </row>
    <row r="57" spans="1:32" s="3" customFormat="1" ht="56.25" customHeight="1" x14ac:dyDescent="0.2">
      <c r="A57" s="235"/>
      <c r="B57" s="235"/>
      <c r="C57" s="235"/>
      <c r="D57" s="235"/>
      <c r="F57" s="1377" t="s">
        <v>419</v>
      </c>
      <c r="G57" s="1377"/>
      <c r="H57" s="1377"/>
      <c r="I57" s="1377"/>
      <c r="J57" s="784">
        <f>PREVENÇÃO!T48+PREVENÇÃO!W48</f>
        <v>1146.2669999999998</v>
      </c>
      <c r="K57" s="785"/>
      <c r="L57" s="786"/>
      <c r="M57" s="784">
        <f>' POP. ALVO'!M170</f>
        <v>200</v>
      </c>
      <c r="N57" s="785"/>
      <c r="O57" s="786"/>
      <c r="P57" s="1369">
        <f>M57/J57</f>
        <v>0.17447941884395174</v>
      </c>
      <c r="Q57" s="1370"/>
      <c r="R57" s="1371"/>
      <c r="S57" s="127"/>
      <c r="T57" s="1369">
        <v>1</v>
      </c>
      <c r="U57" s="1370"/>
      <c r="V57" s="1371"/>
      <c r="W57" s="784">
        <f>' POP. ALVO'!V170</f>
        <v>573.13349999999991</v>
      </c>
      <c r="X57" s="785"/>
      <c r="Y57" s="785"/>
      <c r="Z57" s="786"/>
      <c r="AA57" s="1"/>
      <c r="AB57" s="1"/>
      <c r="AC57" s="1"/>
      <c r="AD57" s="1"/>
      <c r="AE57" s="25"/>
      <c r="AF57" s="25"/>
    </row>
    <row r="58" spans="1:32" s="3" customFormat="1" ht="50.25" customHeight="1" x14ac:dyDescent="0.2">
      <c r="A58" s="235"/>
      <c r="B58" s="235"/>
      <c r="C58" s="235"/>
      <c r="D58" s="235"/>
      <c r="F58" s="1377" t="s">
        <v>420</v>
      </c>
      <c r="G58" s="1377"/>
      <c r="H58" s="1377"/>
      <c r="I58" s="1377"/>
      <c r="J58" s="784">
        <f>PREVENÇÃO!Z48</f>
        <v>393.25400000000002</v>
      </c>
      <c r="K58" s="785"/>
      <c r="L58" s="786"/>
      <c r="M58" s="784">
        <f>' POP. ALVO'!M171</f>
        <v>12</v>
      </c>
      <c r="N58" s="785"/>
      <c r="O58" s="786"/>
      <c r="P58" s="1369">
        <f>M58/J58</f>
        <v>3.0514629221826097E-2</v>
      </c>
      <c r="Q58" s="1370"/>
      <c r="R58" s="1371"/>
      <c r="S58" s="127"/>
      <c r="T58" s="1369">
        <v>1</v>
      </c>
      <c r="U58" s="1370"/>
      <c r="V58" s="1371"/>
      <c r="W58" s="784">
        <f>' POP. ALVO'!V171</f>
        <v>196.62700000000001</v>
      </c>
      <c r="X58" s="785"/>
      <c r="Y58" s="785"/>
      <c r="Z58" s="786"/>
      <c r="AA58" s="25"/>
      <c r="AB58" s="25"/>
      <c r="AC58" s="25"/>
      <c r="AD58" s="25"/>
      <c r="AE58" s="25"/>
      <c r="AF58" s="25"/>
    </row>
    <row r="59" spans="1:32" s="3" customFormat="1" ht="32.25" customHeight="1" x14ac:dyDescent="0.2">
      <c r="A59" s="235"/>
      <c r="B59" s="235"/>
      <c r="C59" s="235"/>
      <c r="D59" s="235"/>
      <c r="F59" s="1377" t="s">
        <v>228</v>
      </c>
      <c r="G59" s="1377"/>
      <c r="H59" s="1377"/>
      <c r="I59" s="1377"/>
      <c r="J59" s="784">
        <f>PREVENÇÃO!K50</f>
        <v>1190</v>
      </c>
      <c r="K59" s="785"/>
      <c r="L59" s="786"/>
      <c r="M59" s="784">
        <f>' POP. ALVO'!M172</f>
        <v>500</v>
      </c>
      <c r="N59" s="785"/>
      <c r="O59" s="786"/>
      <c r="P59" s="1369">
        <f>M59/J59</f>
        <v>0.42016806722689076</v>
      </c>
      <c r="Q59" s="1370"/>
      <c r="R59" s="1371"/>
      <c r="S59" s="127"/>
      <c r="T59" s="1369">
        <v>1</v>
      </c>
      <c r="U59" s="1370"/>
      <c r="V59" s="1371"/>
      <c r="W59" s="784">
        <f>' POP. ALVO'!V172</f>
        <v>595</v>
      </c>
      <c r="X59" s="785"/>
      <c r="Y59" s="785"/>
      <c r="Z59" s="786"/>
      <c r="AA59" s="25"/>
      <c r="AB59" s="25"/>
      <c r="AC59" s="25"/>
      <c r="AD59" s="25"/>
      <c r="AE59" s="25"/>
      <c r="AF59" s="25"/>
    </row>
    <row r="60" spans="1:32" s="3" customFormat="1" ht="15.75" customHeight="1" x14ac:dyDescent="0.2">
      <c r="D60" s="18"/>
      <c r="E60" s="18"/>
      <c r="F60" s="7"/>
      <c r="G60" s="7"/>
      <c r="H60" s="7"/>
      <c r="I60" s="7"/>
      <c r="J60" s="38"/>
      <c r="K60" s="7"/>
      <c r="L60" s="7"/>
      <c r="M60" s="7"/>
      <c r="N60" s="7"/>
      <c r="O60" s="7"/>
      <c r="P60" s="7"/>
      <c r="Q60" s="7"/>
      <c r="R60" s="7"/>
      <c r="S60" s="7"/>
      <c r="T60" s="7"/>
      <c r="U60" s="7"/>
      <c r="V60" s="7"/>
      <c r="W60" s="7"/>
      <c r="X60" s="45"/>
      <c r="Y60" s="45"/>
      <c r="Z60" s="45"/>
      <c r="AA60" s="45"/>
      <c r="AB60" s="45"/>
      <c r="AC60" s="45"/>
      <c r="AD60" s="45"/>
    </row>
    <row r="61" spans="1:32" ht="15" customHeight="1" x14ac:dyDescent="0.25">
      <c r="B61" s="245" t="s">
        <v>569</v>
      </c>
    </row>
    <row r="63" spans="1:32" s="3" customFormat="1" ht="15.75" customHeight="1" x14ac:dyDescent="0.2">
      <c r="D63" s="11"/>
      <c r="E63" s="11"/>
      <c r="F63" s="672" t="s">
        <v>127</v>
      </c>
      <c r="G63" s="672"/>
      <c r="H63" s="672"/>
      <c r="I63" s="672"/>
      <c r="J63" s="672"/>
      <c r="K63" s="672"/>
      <c r="L63" s="672"/>
      <c r="M63" s="672"/>
      <c r="N63" s="672"/>
      <c r="O63" s="672"/>
      <c r="P63" s="672"/>
      <c r="Q63" s="672"/>
      <c r="R63" s="672"/>
      <c r="S63" s="672"/>
      <c r="T63" s="672"/>
      <c r="U63" s="672"/>
      <c r="V63" s="672"/>
      <c r="W63" s="672"/>
      <c r="X63" s="20"/>
      <c r="Y63" s="20"/>
      <c r="Z63" s="20"/>
      <c r="AA63" s="20"/>
      <c r="AB63" s="20"/>
      <c r="AC63" s="20"/>
      <c r="AD63" s="20"/>
    </row>
    <row r="64" spans="1:32" s="3" customFormat="1" ht="5.0999999999999996" customHeight="1" x14ac:dyDescent="0.2">
      <c r="C64" s="4"/>
    </row>
    <row r="65" spans="4:30" s="3" customFormat="1" ht="30" customHeight="1" x14ac:dyDescent="0.2">
      <c r="D65" s="11"/>
      <c r="E65" s="11"/>
      <c r="F65" s="784">
        <f>' POP. ALVO'!F179</f>
        <v>0</v>
      </c>
      <c r="G65" s="785"/>
      <c r="H65" s="786"/>
      <c r="I65" s="1375" t="s">
        <v>648</v>
      </c>
      <c r="J65" s="1375"/>
      <c r="K65" s="1375"/>
      <c r="L65" s="1375"/>
      <c r="M65" s="1375"/>
      <c r="N65" s="1375"/>
      <c r="O65" s="1375"/>
      <c r="P65" s="1375"/>
      <c r="Q65" s="1375"/>
      <c r="R65" s="1375"/>
      <c r="S65" s="1375"/>
      <c r="T65" s="1375"/>
      <c r="U65" s="1375"/>
      <c r="V65" s="1375"/>
      <c r="W65" s="1376"/>
      <c r="X65" s="630"/>
      <c r="Y65" s="630"/>
      <c r="Z65" s="630"/>
      <c r="AA65" s="630"/>
      <c r="AB65" s="630"/>
      <c r="AC65" s="630"/>
      <c r="AD65" s="630"/>
    </row>
    <row r="66" spans="4:30" s="3" customFormat="1" ht="30" customHeight="1" x14ac:dyDescent="0.2">
      <c r="D66" s="11"/>
      <c r="E66" s="11"/>
      <c r="F66" s="784">
        <f>' POP. ALVO'!F180</f>
        <v>0</v>
      </c>
      <c r="G66" s="785"/>
      <c r="H66" s="786"/>
      <c r="I66" s="1375" t="s">
        <v>649</v>
      </c>
      <c r="J66" s="1375"/>
      <c r="K66" s="1375"/>
      <c r="L66" s="1375"/>
      <c r="M66" s="1375"/>
      <c r="N66" s="1375"/>
      <c r="O66" s="1375"/>
      <c r="P66" s="1375"/>
      <c r="Q66" s="1375"/>
      <c r="R66" s="1375"/>
      <c r="S66" s="1375"/>
      <c r="T66" s="1375"/>
      <c r="U66" s="1375"/>
      <c r="V66" s="1375"/>
      <c r="W66" s="1376"/>
      <c r="X66" s="630"/>
      <c r="Y66" s="630"/>
      <c r="Z66" s="630"/>
      <c r="AA66" s="630"/>
      <c r="AB66" s="630"/>
      <c r="AC66" s="630"/>
      <c r="AD66" s="630"/>
    </row>
    <row r="67" spans="4:30" s="3" customFormat="1" ht="30" customHeight="1" x14ac:dyDescent="0.2">
      <c r="D67" s="11"/>
      <c r="E67" s="11"/>
      <c r="F67" s="784">
        <f>' POP. ALVO'!F181</f>
        <v>0</v>
      </c>
      <c r="G67" s="785"/>
      <c r="H67" s="786"/>
      <c r="I67" s="1375" t="s">
        <v>650</v>
      </c>
      <c r="J67" s="1375"/>
      <c r="K67" s="1375"/>
      <c r="L67" s="1375"/>
      <c r="M67" s="1375"/>
      <c r="N67" s="1375"/>
      <c r="O67" s="1375"/>
      <c r="P67" s="1375"/>
      <c r="Q67" s="1375"/>
      <c r="R67" s="1375"/>
      <c r="S67" s="1375"/>
      <c r="T67" s="1375"/>
      <c r="U67" s="1375"/>
      <c r="V67" s="1375"/>
      <c r="W67" s="1376"/>
      <c r="X67" s="630"/>
      <c r="Y67" s="630"/>
      <c r="Z67" s="630"/>
      <c r="AA67" s="630"/>
      <c r="AB67" s="630"/>
      <c r="AC67" s="630"/>
      <c r="AD67" s="630"/>
    </row>
    <row r="68" spans="4:30" s="3" customFormat="1" ht="30" customHeight="1" x14ac:dyDescent="0.2">
      <c r="D68" s="11"/>
      <c r="E68" s="11"/>
      <c r="F68" s="784">
        <f>' POP. ALVO'!F182</f>
        <v>0</v>
      </c>
      <c r="G68" s="785"/>
      <c r="H68" s="786"/>
      <c r="I68" s="1375" t="s">
        <v>652</v>
      </c>
      <c r="J68" s="1375"/>
      <c r="K68" s="1375"/>
      <c r="L68" s="1375"/>
      <c r="M68" s="1375"/>
      <c r="N68" s="1375"/>
      <c r="O68" s="1375"/>
      <c r="P68" s="1375"/>
      <c r="Q68" s="1375"/>
      <c r="R68" s="1375"/>
      <c r="S68" s="1375"/>
      <c r="T68" s="1375"/>
      <c r="U68" s="1375"/>
      <c r="V68" s="1375"/>
      <c r="W68" s="1376"/>
      <c r="X68" s="630"/>
      <c r="Y68" s="630"/>
      <c r="Z68" s="630"/>
      <c r="AA68" s="630"/>
      <c r="AB68" s="630"/>
      <c r="AC68" s="630"/>
      <c r="AD68" s="630"/>
    </row>
    <row r="69" spans="4:30" s="3" customFormat="1" ht="30" customHeight="1" x14ac:dyDescent="0.2">
      <c r="D69" s="18"/>
      <c r="E69" s="18"/>
      <c r="F69" s="784">
        <f>' POP. ALVO'!F183</f>
        <v>0</v>
      </c>
      <c r="G69" s="785"/>
      <c r="H69" s="786"/>
      <c r="I69" s="1375" t="s">
        <v>651</v>
      </c>
      <c r="J69" s="1375"/>
      <c r="K69" s="1375"/>
      <c r="L69" s="1375"/>
      <c r="M69" s="1375"/>
      <c r="N69" s="1375"/>
      <c r="O69" s="1375"/>
      <c r="P69" s="1375"/>
      <c r="Q69" s="1375"/>
      <c r="R69" s="1375"/>
      <c r="S69" s="1375"/>
      <c r="T69" s="1375"/>
      <c r="U69" s="1375"/>
      <c r="V69" s="1375"/>
      <c r="W69" s="1376"/>
      <c r="X69" s="45"/>
      <c r="Y69" s="45"/>
      <c r="Z69" s="45"/>
      <c r="AA69" s="45"/>
      <c r="AB69" s="45"/>
      <c r="AC69" s="45"/>
      <c r="AD69" s="45"/>
    </row>
  </sheetData>
  <sheetProtection sheet="1" objects="1" scenarios="1"/>
  <mergeCells count="245">
    <mergeCell ref="X68:AD68"/>
    <mergeCell ref="F59:I59"/>
    <mergeCell ref="J59:L59"/>
    <mergeCell ref="W57:Z57"/>
    <mergeCell ref="W58:Z58"/>
    <mergeCell ref="W59:Z59"/>
    <mergeCell ref="T58:V58"/>
    <mergeCell ref="X65:AD65"/>
    <mergeCell ref="X66:AD66"/>
    <mergeCell ref="F65:H65"/>
    <mergeCell ref="W53:Z54"/>
    <mergeCell ref="W55:Z55"/>
    <mergeCell ref="W56:Z56"/>
    <mergeCell ref="I65:W65"/>
    <mergeCell ref="X67:AD67"/>
    <mergeCell ref="C2:H2"/>
    <mergeCell ref="J2:O2"/>
    <mergeCell ref="Q2:V2"/>
    <mergeCell ref="X2:AC2"/>
    <mergeCell ref="F66:H66"/>
    <mergeCell ref="F67:H67"/>
    <mergeCell ref="A54:D54"/>
    <mergeCell ref="F54:L54"/>
    <mergeCell ref="M54:O54"/>
    <mergeCell ref="P54:R54"/>
    <mergeCell ref="A56:D56"/>
    <mergeCell ref="A55:D55"/>
    <mergeCell ref="F55:I55"/>
    <mergeCell ref="I67:W67"/>
    <mergeCell ref="F10:AB10"/>
    <mergeCell ref="K12:AB12"/>
    <mergeCell ref="F15:I15"/>
    <mergeCell ref="K15:M15"/>
    <mergeCell ref="N15:P15"/>
    <mergeCell ref="F69:H69"/>
    <mergeCell ref="I66:W66"/>
    <mergeCell ref="F56:I56"/>
    <mergeCell ref="J56:L56"/>
    <mergeCell ref="M56:O56"/>
    <mergeCell ref="P56:R56"/>
    <mergeCell ref="T56:V56"/>
    <mergeCell ref="F57:I57"/>
    <mergeCell ref="J57:L57"/>
    <mergeCell ref="M57:O57"/>
    <mergeCell ref="P57:R57"/>
    <mergeCell ref="M58:O58"/>
    <mergeCell ref="P58:R58"/>
    <mergeCell ref="F58:I58"/>
    <mergeCell ref="J58:L58"/>
    <mergeCell ref="I69:W69"/>
    <mergeCell ref="T59:V59"/>
    <mergeCell ref="T57:V57"/>
    <mergeCell ref="I68:W68"/>
    <mergeCell ref="F68:H68"/>
    <mergeCell ref="K39:AB39"/>
    <mergeCell ref="M59:O59"/>
    <mergeCell ref="P59:R59"/>
    <mergeCell ref="F63:W63"/>
    <mergeCell ref="T53:V54"/>
    <mergeCell ref="M55:O55"/>
    <mergeCell ref="P55:R55"/>
    <mergeCell ref="T55:V55"/>
    <mergeCell ref="J55:L55"/>
    <mergeCell ref="F53:R53"/>
    <mergeCell ref="F50:I50"/>
    <mergeCell ref="K50:M50"/>
    <mergeCell ref="F48:I48"/>
    <mergeCell ref="W48:Y48"/>
    <mergeCell ref="Z48:AB48"/>
    <mergeCell ref="Q48:S48"/>
    <mergeCell ref="T48:V48"/>
    <mergeCell ref="K48:M48"/>
    <mergeCell ref="N48:P48"/>
    <mergeCell ref="Z41:AB41"/>
    <mergeCell ref="Z42:AB42"/>
    <mergeCell ref="F42:I42"/>
    <mergeCell ref="K42:M42"/>
    <mergeCell ref="N42:P42"/>
    <mergeCell ref="Q15:S15"/>
    <mergeCell ref="T15:V15"/>
    <mergeCell ref="W15:Y15"/>
    <mergeCell ref="F16:I16"/>
    <mergeCell ref="K16:M16"/>
    <mergeCell ref="N16:P16"/>
    <mergeCell ref="Q16:S16"/>
    <mergeCell ref="T16:V16"/>
    <mergeCell ref="W16:Y16"/>
    <mergeCell ref="Q18:S18"/>
    <mergeCell ref="T18:V18"/>
    <mergeCell ref="W18:Y18"/>
    <mergeCell ref="F17:I17"/>
    <mergeCell ref="K17:M17"/>
    <mergeCell ref="N17:P17"/>
    <mergeCell ref="Q17:S17"/>
    <mergeCell ref="T17:V17"/>
    <mergeCell ref="W17:Y17"/>
    <mergeCell ref="Z14:AB14"/>
    <mergeCell ref="Q13:S13"/>
    <mergeCell ref="T13:V13"/>
    <mergeCell ref="W13:Y13"/>
    <mergeCell ref="F12:I13"/>
    <mergeCell ref="F14:I14"/>
    <mergeCell ref="K14:M14"/>
    <mergeCell ref="N14:P14"/>
    <mergeCell ref="W14:Y14"/>
    <mergeCell ref="Z13:AB13"/>
    <mergeCell ref="K13:M13"/>
    <mergeCell ref="N13:P13"/>
    <mergeCell ref="Q14:S14"/>
    <mergeCell ref="T14:V14"/>
    <mergeCell ref="Z15:AB15"/>
    <mergeCell ref="Z16:AB16"/>
    <mergeCell ref="Z17:AB17"/>
    <mergeCell ref="Z18:AB18"/>
    <mergeCell ref="Z19:AB19"/>
    <mergeCell ref="Z20:AB20"/>
    <mergeCell ref="K22:AB22"/>
    <mergeCell ref="F25:AB25"/>
    <mergeCell ref="K27:AB27"/>
    <mergeCell ref="F20:I20"/>
    <mergeCell ref="K20:M20"/>
    <mergeCell ref="N20:P20"/>
    <mergeCell ref="Q20:S20"/>
    <mergeCell ref="T20:V20"/>
    <mergeCell ref="W20:Y20"/>
    <mergeCell ref="F19:I19"/>
    <mergeCell ref="K19:M19"/>
    <mergeCell ref="N19:P19"/>
    <mergeCell ref="Q19:S19"/>
    <mergeCell ref="T19:V19"/>
    <mergeCell ref="W19:Y19"/>
    <mergeCell ref="F18:I18"/>
    <mergeCell ref="K18:M18"/>
    <mergeCell ref="N18:P18"/>
    <mergeCell ref="K28:M28"/>
    <mergeCell ref="N28:P28"/>
    <mergeCell ref="Q28:S28"/>
    <mergeCell ref="T28:V28"/>
    <mergeCell ref="W28:Y28"/>
    <mergeCell ref="N29:P29"/>
    <mergeCell ref="Q29:S29"/>
    <mergeCell ref="T29:V29"/>
    <mergeCell ref="Z28:AB28"/>
    <mergeCell ref="Z29:AB29"/>
    <mergeCell ref="F30:I30"/>
    <mergeCell ref="K30:M30"/>
    <mergeCell ref="N30:P30"/>
    <mergeCell ref="Q30:S30"/>
    <mergeCell ref="T30:V30"/>
    <mergeCell ref="W30:Y30"/>
    <mergeCell ref="Z30:AB30"/>
    <mergeCell ref="F29:I29"/>
    <mergeCell ref="K29:M29"/>
    <mergeCell ref="W29:Y29"/>
    <mergeCell ref="F32:I32"/>
    <mergeCell ref="K32:M32"/>
    <mergeCell ref="N32:P32"/>
    <mergeCell ref="Z32:AB32"/>
    <mergeCell ref="F31:I31"/>
    <mergeCell ref="K31:M31"/>
    <mergeCell ref="N31:P31"/>
    <mergeCell ref="Q31:S31"/>
    <mergeCell ref="T31:V31"/>
    <mergeCell ref="W31:Y31"/>
    <mergeCell ref="N34:P34"/>
    <mergeCell ref="Q34:S34"/>
    <mergeCell ref="T34:V34"/>
    <mergeCell ref="W34:Y34"/>
    <mergeCell ref="Q33:S33"/>
    <mergeCell ref="T33:V33"/>
    <mergeCell ref="W33:Y33"/>
    <mergeCell ref="Z31:AB31"/>
    <mergeCell ref="Q32:S32"/>
    <mergeCell ref="T32:V32"/>
    <mergeCell ref="Z33:AB33"/>
    <mergeCell ref="W32:Y32"/>
    <mergeCell ref="N33:P33"/>
    <mergeCell ref="Q42:S42"/>
    <mergeCell ref="T42:V42"/>
    <mergeCell ref="W42:Y42"/>
    <mergeCell ref="F41:I41"/>
    <mergeCell ref="K41:M41"/>
    <mergeCell ref="N41:P41"/>
    <mergeCell ref="Q41:S41"/>
    <mergeCell ref="T41:V41"/>
    <mergeCell ref="W41:Y41"/>
    <mergeCell ref="Z43:AB43"/>
    <mergeCell ref="F44:I44"/>
    <mergeCell ref="K44:M44"/>
    <mergeCell ref="N44:P44"/>
    <mergeCell ref="Q44:S44"/>
    <mergeCell ref="T44:V44"/>
    <mergeCell ref="W44:Y44"/>
    <mergeCell ref="Z44:AB44"/>
    <mergeCell ref="F43:I43"/>
    <mergeCell ref="K43:M43"/>
    <mergeCell ref="N43:P43"/>
    <mergeCell ref="Q43:S43"/>
    <mergeCell ref="T43:V43"/>
    <mergeCell ref="W43:Y43"/>
    <mergeCell ref="Z47:AB47"/>
    <mergeCell ref="F47:I47"/>
    <mergeCell ref="K47:M47"/>
    <mergeCell ref="N47:P47"/>
    <mergeCell ref="Q47:S47"/>
    <mergeCell ref="T47:V47"/>
    <mergeCell ref="W47:Y47"/>
    <mergeCell ref="K45:M45"/>
    <mergeCell ref="N45:P45"/>
    <mergeCell ref="Q45:S45"/>
    <mergeCell ref="T45:V45"/>
    <mergeCell ref="Z45:AB45"/>
    <mergeCell ref="F46:I46"/>
    <mergeCell ref="K46:M46"/>
    <mergeCell ref="N46:P46"/>
    <mergeCell ref="Q46:S46"/>
    <mergeCell ref="T46:V46"/>
    <mergeCell ref="W46:Y46"/>
    <mergeCell ref="Z46:AB46"/>
    <mergeCell ref="F45:I45"/>
    <mergeCell ref="W45:Y45"/>
    <mergeCell ref="F23:J23"/>
    <mergeCell ref="F37:AB37"/>
    <mergeCell ref="D8:E8"/>
    <mergeCell ref="F22:I22"/>
    <mergeCell ref="Z35:AB35"/>
    <mergeCell ref="K40:M40"/>
    <mergeCell ref="N40:P40"/>
    <mergeCell ref="Q40:S40"/>
    <mergeCell ref="F27:I28"/>
    <mergeCell ref="T35:V35"/>
    <mergeCell ref="W35:Y35"/>
    <mergeCell ref="F39:I40"/>
    <mergeCell ref="Z34:AB34"/>
    <mergeCell ref="F33:I33"/>
    <mergeCell ref="K33:M33"/>
    <mergeCell ref="T40:V40"/>
    <mergeCell ref="W40:Y40"/>
    <mergeCell ref="Z40:AB40"/>
    <mergeCell ref="F35:I35"/>
    <mergeCell ref="K35:M35"/>
    <mergeCell ref="N35:P35"/>
    <mergeCell ref="Q35:S35"/>
    <mergeCell ref="F34:I34"/>
    <mergeCell ref="K34:M34"/>
  </mergeCells>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15"/>
  <dimension ref="A1:BV41"/>
  <sheetViews>
    <sheetView topLeftCell="A13" zoomScaleNormal="100" workbookViewId="0">
      <selection activeCell="BF32" sqref="BF32"/>
    </sheetView>
  </sheetViews>
  <sheetFormatPr defaultColWidth="11" defaultRowHeight="15" x14ac:dyDescent="0.25"/>
  <cols>
    <col min="1" max="1" width="2.625" style="133" customWidth="1"/>
    <col min="2" max="97" width="1.625" style="133" customWidth="1"/>
    <col min="98" max="16384" width="11" style="133"/>
  </cols>
  <sheetData>
    <row r="1" spans="1:74" s="355" customFormat="1" ht="68.25" customHeight="1" thickBot="1" x14ac:dyDescent="0.25">
      <c r="A1" s="364"/>
      <c r="B1" s="364"/>
      <c r="C1" s="364"/>
      <c r="D1" s="364"/>
      <c r="E1" s="364"/>
      <c r="F1" s="364"/>
      <c r="G1" s="364"/>
      <c r="H1" s="364"/>
      <c r="I1" s="364"/>
      <c r="J1" s="364"/>
      <c r="K1" s="364"/>
      <c r="L1" s="364"/>
      <c r="M1" s="364"/>
      <c r="N1" s="364"/>
      <c r="O1" s="364"/>
      <c r="P1" s="364"/>
    </row>
    <row r="2" spans="1:74" ht="9.75" customHeight="1" thickBot="1" x14ac:dyDescent="0.3"/>
    <row r="3" spans="1:74" ht="54.75" customHeight="1" x14ac:dyDescent="0.25">
      <c r="B3" s="1378" t="s">
        <v>523</v>
      </c>
      <c r="C3" s="1379"/>
      <c r="D3" s="1379"/>
      <c r="E3" s="1379"/>
      <c r="F3" s="1379"/>
      <c r="G3" s="1379"/>
      <c r="H3" s="1379"/>
      <c r="I3" s="1379"/>
      <c r="J3" s="1379"/>
      <c r="K3" s="1379"/>
      <c r="L3" s="1379"/>
      <c r="M3" s="1379"/>
      <c r="N3" s="1379"/>
      <c r="O3" s="1379"/>
      <c r="P3" s="1379"/>
      <c r="Q3" s="1379"/>
      <c r="R3" s="1379"/>
      <c r="S3" s="1379"/>
      <c r="T3" s="1379"/>
      <c r="U3" s="1379"/>
      <c r="V3" s="1379"/>
      <c r="W3" s="1379"/>
      <c r="X3" s="1379"/>
      <c r="Y3" s="1379"/>
      <c r="Z3" s="1379"/>
      <c r="AA3" s="1379"/>
      <c r="AB3" s="1379"/>
      <c r="AC3" s="1379"/>
      <c r="AD3" s="1379"/>
      <c r="AE3" s="1379"/>
      <c r="AF3" s="1379"/>
      <c r="AG3" s="1379"/>
      <c r="AH3" s="1379"/>
      <c r="AI3" s="1379"/>
      <c r="AJ3" s="1379"/>
      <c r="AK3" s="1379"/>
      <c r="AL3" s="1379"/>
      <c r="AM3" s="1379"/>
      <c r="AN3" s="1379"/>
      <c r="AO3" s="1379"/>
      <c r="AP3" s="1379"/>
      <c r="AQ3" s="1379"/>
      <c r="AR3" s="1379"/>
      <c r="AS3" s="1379"/>
      <c r="AT3" s="1379"/>
      <c r="AU3" s="1379"/>
      <c r="AV3" s="1379"/>
      <c r="AW3" s="1379"/>
      <c r="AX3" s="1379"/>
      <c r="AY3" s="1379"/>
      <c r="AZ3" s="1379"/>
      <c r="BA3" s="1379"/>
      <c r="BB3" s="1379"/>
      <c r="BC3" s="1379"/>
      <c r="BD3" s="1379"/>
      <c r="BE3" s="1379"/>
      <c r="BF3" s="1379"/>
      <c r="BG3" s="1379"/>
      <c r="BH3" s="1379"/>
      <c r="BI3" s="1379"/>
      <c r="BJ3" s="1379"/>
      <c r="BK3" s="1379"/>
      <c r="BL3" s="1379"/>
      <c r="BM3" s="1379"/>
      <c r="BN3" s="1379"/>
      <c r="BO3" s="1379"/>
      <c r="BP3" s="1379"/>
      <c r="BQ3" s="1379"/>
      <c r="BR3" s="1379"/>
      <c r="BS3" s="1379"/>
      <c r="BT3" s="1379"/>
      <c r="BU3" s="1379"/>
      <c r="BV3" s="1379"/>
    </row>
    <row r="4" spans="1:74" ht="15" customHeight="1" x14ac:dyDescent="0.25">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row>
    <row r="5" spans="1:74" s="134" customFormat="1" ht="26.25" customHeight="1" x14ac:dyDescent="0.2">
      <c r="B5" s="135"/>
      <c r="C5" s="1380" t="s">
        <v>89</v>
      </c>
      <c r="D5" s="1381"/>
      <c r="E5" s="1381"/>
      <c r="F5" s="1381"/>
      <c r="G5" s="1381"/>
      <c r="H5" s="1381"/>
      <c r="I5" s="1381"/>
      <c r="J5" s="1381"/>
      <c r="K5" s="1381"/>
      <c r="L5" s="1381"/>
      <c r="M5" s="1381"/>
      <c r="N5" s="1381"/>
      <c r="O5" s="1381"/>
      <c r="P5" s="1381"/>
      <c r="Q5" s="1381"/>
      <c r="R5" s="1381"/>
      <c r="S5" s="1381"/>
      <c r="T5" s="1381"/>
      <c r="U5" s="1381"/>
      <c r="V5" s="1381"/>
      <c r="W5" s="1381"/>
      <c r="X5" s="1381"/>
      <c r="Y5" s="1381"/>
      <c r="Z5" s="1381"/>
      <c r="AA5" s="1381"/>
      <c r="AB5" s="1381"/>
      <c r="AC5" s="1381"/>
      <c r="AD5" s="1381"/>
      <c r="AE5" s="1381"/>
      <c r="AF5" s="1381"/>
      <c r="AG5" s="1381"/>
      <c r="AH5" s="1381"/>
      <c r="AI5" s="1381"/>
      <c r="AJ5" s="1381"/>
      <c r="AK5" s="1381"/>
      <c r="AL5" s="1381"/>
      <c r="AM5" s="1381"/>
      <c r="AN5" s="1381"/>
      <c r="AO5" s="1381"/>
      <c r="AP5" s="1381"/>
      <c r="AQ5" s="1381"/>
      <c r="AR5" s="1381"/>
      <c r="AS5" s="1381"/>
      <c r="AT5" s="1381"/>
      <c r="AU5" s="1381"/>
      <c r="AV5" s="1381"/>
      <c r="AW5" s="1381"/>
      <c r="AX5" s="1381"/>
      <c r="AY5" s="1381"/>
      <c r="AZ5" s="1381"/>
      <c r="BA5" s="1381"/>
      <c r="BB5" s="1381"/>
      <c r="BC5" s="1381"/>
      <c r="BD5" s="1381"/>
      <c r="BE5" s="1381"/>
      <c r="BF5" s="1381"/>
      <c r="BG5" s="1381"/>
      <c r="BH5" s="1382"/>
      <c r="BI5" s="152"/>
      <c r="BK5" s="1385" t="s">
        <v>88</v>
      </c>
      <c r="BL5" s="1386"/>
      <c r="BM5" s="1386"/>
      <c r="BN5" s="1386"/>
      <c r="BO5" s="1386"/>
      <c r="BP5" s="1386"/>
      <c r="BQ5" s="1386"/>
      <c r="BR5" s="1386"/>
      <c r="BS5" s="1386"/>
      <c r="BT5" s="1386"/>
      <c r="BU5" s="1387"/>
      <c r="BV5" s="135"/>
    </row>
    <row r="6" spans="1:74" s="134" customFormat="1" ht="9.75" customHeight="1" x14ac:dyDescent="0.2">
      <c r="BK6" s="136"/>
      <c r="BL6" s="136"/>
      <c r="BM6" s="136"/>
      <c r="BN6" s="136"/>
      <c r="BO6" s="136"/>
      <c r="BP6" s="136"/>
      <c r="BQ6" s="136"/>
      <c r="BR6" s="136"/>
      <c r="BS6" s="136"/>
      <c r="BT6" s="136"/>
      <c r="BU6" s="136"/>
      <c r="BV6" s="136"/>
    </row>
    <row r="7" spans="1:74" s="134" customFormat="1" ht="20.100000000000001" customHeight="1" x14ac:dyDescent="0.2">
      <c r="C7" s="1388" t="s">
        <v>524</v>
      </c>
      <c r="D7" s="1388"/>
      <c r="E7" s="1388"/>
      <c r="F7" s="1388"/>
      <c r="G7" s="1388"/>
      <c r="H7" s="1388"/>
      <c r="I7" s="1388"/>
      <c r="J7" s="1388"/>
      <c r="K7" s="1388"/>
      <c r="L7" s="1388"/>
      <c r="M7" s="1388"/>
      <c r="N7" s="1388"/>
      <c r="O7" s="1388"/>
      <c r="P7" s="1388"/>
      <c r="Q7" s="1388"/>
      <c r="R7" s="1388"/>
      <c r="S7" s="1388"/>
      <c r="T7" s="1388"/>
      <c r="U7" s="1388"/>
      <c r="V7" s="1388"/>
      <c r="W7" s="1388"/>
      <c r="X7" s="1388"/>
      <c r="Y7" s="1388"/>
      <c r="Z7" s="1388"/>
      <c r="AA7" s="1388"/>
      <c r="AB7" s="1388"/>
      <c r="AC7" s="1388"/>
      <c r="AD7" s="1388"/>
      <c r="AE7" s="1388"/>
      <c r="AF7" s="1388"/>
      <c r="AG7" s="1388"/>
      <c r="AH7" s="1388"/>
      <c r="AI7" s="1388"/>
      <c r="AJ7" s="1388"/>
      <c r="AK7" s="1388"/>
      <c r="AL7" s="1388"/>
      <c r="AM7" s="1388"/>
      <c r="AN7" s="1388"/>
      <c r="AO7" s="1388"/>
      <c r="AP7" s="1388"/>
      <c r="AQ7" s="1388"/>
      <c r="AR7" s="1388"/>
      <c r="AS7" s="1388"/>
      <c r="AT7" s="1388"/>
      <c r="AU7" s="1388"/>
      <c r="AV7" s="1388"/>
      <c r="AW7" s="1388"/>
      <c r="AX7" s="1388"/>
      <c r="AY7" s="1388"/>
      <c r="AZ7" s="1388"/>
      <c r="BA7" s="1388"/>
      <c r="BB7" s="1388"/>
      <c r="BC7" s="1388"/>
      <c r="BD7" s="1388"/>
      <c r="BE7" s="1388"/>
      <c r="BF7" s="1388"/>
      <c r="BG7" s="1388"/>
      <c r="BH7" s="1388"/>
      <c r="BI7" s="137"/>
      <c r="BJ7" s="138"/>
      <c r="BK7" s="1383">
        <f>' POP. ALVO'!Z11</f>
        <v>9</v>
      </c>
      <c r="BL7" s="1383"/>
      <c r="BM7" s="1383"/>
      <c r="BN7" s="1383"/>
      <c r="BO7" s="1383"/>
      <c r="BP7" s="1383"/>
      <c r="BQ7" s="1383"/>
      <c r="BR7" s="1383"/>
      <c r="BS7" s="1383"/>
      <c r="BT7" s="1383"/>
      <c r="BU7" s="1383"/>
      <c r="BV7" s="135"/>
    </row>
    <row r="8" spans="1:74" s="134" customFormat="1" ht="8.1" customHeight="1" x14ac:dyDescent="0.2">
      <c r="B8" s="139"/>
      <c r="C8" s="140"/>
      <c r="D8" s="140"/>
      <c r="E8" s="140"/>
      <c r="F8" s="140"/>
      <c r="G8" s="140"/>
      <c r="H8" s="140"/>
      <c r="I8" s="140"/>
      <c r="J8" s="140"/>
      <c r="K8" s="140"/>
      <c r="L8" s="140"/>
      <c r="M8" s="140"/>
      <c r="N8" s="140"/>
      <c r="O8" s="140"/>
      <c r="P8" s="140"/>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7"/>
      <c r="BJ8" s="138"/>
      <c r="BK8" s="141"/>
      <c r="BL8" s="141"/>
      <c r="BM8" s="141"/>
      <c r="BN8" s="141"/>
      <c r="BO8" s="141"/>
      <c r="BP8" s="141"/>
      <c r="BQ8" s="141"/>
      <c r="BR8" s="141"/>
      <c r="BS8" s="141"/>
      <c r="BT8" s="141"/>
      <c r="BU8" s="141"/>
      <c r="BV8" s="135"/>
    </row>
    <row r="9" spans="1:74" s="134" customFormat="1" ht="20.100000000000001" customHeight="1" x14ac:dyDescent="0.2">
      <c r="C9" s="1384" t="s">
        <v>525</v>
      </c>
      <c r="D9" s="1384"/>
      <c r="E9" s="1384"/>
      <c r="F9" s="1384"/>
      <c r="G9" s="1384"/>
      <c r="H9" s="1384"/>
      <c r="I9" s="1384"/>
      <c r="J9" s="1384"/>
      <c r="K9" s="1384"/>
      <c r="L9" s="1384"/>
      <c r="M9" s="1384"/>
      <c r="N9" s="1384"/>
      <c r="O9" s="1384"/>
      <c r="P9" s="1384"/>
      <c r="Q9" s="1384" t="s">
        <v>573</v>
      </c>
      <c r="R9" s="1384"/>
      <c r="S9" s="1384"/>
      <c r="T9" s="1384"/>
      <c r="U9" s="1384"/>
      <c r="V9" s="1384"/>
      <c r="W9" s="1384"/>
      <c r="X9" s="1384"/>
      <c r="Y9" s="1384"/>
      <c r="Z9" s="1384"/>
      <c r="AA9" s="1384"/>
      <c r="AB9" s="1384"/>
      <c r="AC9" s="1384"/>
      <c r="AD9" s="1384"/>
      <c r="AE9" s="1384"/>
      <c r="AF9" s="1384"/>
      <c r="AG9" s="1384"/>
      <c r="AH9" s="1384"/>
      <c r="AI9" s="1384"/>
      <c r="AJ9" s="1384"/>
      <c r="AK9" s="1384"/>
      <c r="AL9" s="1384"/>
      <c r="AM9" s="1384"/>
      <c r="AN9" s="1384"/>
      <c r="AO9" s="1384"/>
      <c r="AP9" s="1384"/>
      <c r="AQ9" s="1384"/>
      <c r="AR9" s="1384"/>
      <c r="AS9" s="1384"/>
      <c r="AT9" s="1384"/>
      <c r="AU9" s="1384"/>
      <c r="AV9" s="1384"/>
      <c r="AW9" s="1384"/>
      <c r="AX9" s="1384"/>
      <c r="AY9" s="1384"/>
      <c r="AZ9" s="1384"/>
      <c r="BA9" s="1384"/>
      <c r="BB9" s="1384"/>
      <c r="BC9" s="1384"/>
      <c r="BD9" s="1384"/>
      <c r="BE9" s="1384"/>
      <c r="BF9" s="1384"/>
      <c r="BG9" s="1384"/>
      <c r="BH9" s="1384"/>
      <c r="BK9" s="1383">
        <f>' POP. ALVO'!V38+' POP. ALVO'!V39</f>
        <v>16.799999999999997</v>
      </c>
      <c r="BL9" s="1383"/>
      <c r="BM9" s="1383"/>
      <c r="BN9" s="1383"/>
      <c r="BO9" s="1383"/>
      <c r="BP9" s="1383"/>
      <c r="BQ9" s="1383"/>
      <c r="BR9" s="1383"/>
      <c r="BS9" s="1383"/>
      <c r="BT9" s="1383"/>
      <c r="BU9" s="1383"/>
      <c r="BV9" s="135"/>
    </row>
    <row r="10" spans="1:74" s="134" customFormat="1" ht="20.100000000000001" customHeight="1" x14ac:dyDescent="0.2">
      <c r="C10" s="1384"/>
      <c r="D10" s="1384"/>
      <c r="E10" s="1384"/>
      <c r="F10" s="1384"/>
      <c r="G10" s="1384"/>
      <c r="H10" s="1384"/>
      <c r="I10" s="1384"/>
      <c r="J10" s="1384"/>
      <c r="K10" s="1384"/>
      <c r="L10" s="1384"/>
      <c r="M10" s="1384"/>
      <c r="N10" s="1384"/>
      <c r="O10" s="1384"/>
      <c r="P10" s="1384"/>
      <c r="Q10" s="1384" t="s">
        <v>574</v>
      </c>
      <c r="R10" s="1384"/>
      <c r="S10" s="1384"/>
      <c r="T10" s="1384"/>
      <c r="U10" s="1384"/>
      <c r="V10" s="1384"/>
      <c r="W10" s="1384"/>
      <c r="X10" s="1384"/>
      <c r="Y10" s="1384"/>
      <c r="Z10" s="1384"/>
      <c r="AA10" s="1384"/>
      <c r="AB10" s="1384"/>
      <c r="AC10" s="1384"/>
      <c r="AD10" s="1384"/>
      <c r="AE10" s="1384"/>
      <c r="AF10" s="1384"/>
      <c r="AG10" s="1384"/>
      <c r="AH10" s="1384"/>
      <c r="AI10" s="1384"/>
      <c r="AJ10" s="1384"/>
      <c r="AK10" s="1384"/>
      <c r="AL10" s="1384"/>
      <c r="AM10" s="1384"/>
      <c r="AN10" s="1384"/>
      <c r="AO10" s="1384"/>
      <c r="AP10" s="1384"/>
      <c r="AQ10" s="1384"/>
      <c r="AR10" s="1384"/>
      <c r="AS10" s="1384"/>
      <c r="AT10" s="1384"/>
      <c r="AU10" s="1384"/>
      <c r="AV10" s="1384"/>
      <c r="AW10" s="1384"/>
      <c r="AX10" s="1384"/>
      <c r="AY10" s="1384"/>
      <c r="AZ10" s="1384"/>
      <c r="BA10" s="1384"/>
      <c r="BB10" s="1384"/>
      <c r="BC10" s="1384"/>
      <c r="BD10" s="1384"/>
      <c r="BE10" s="1384"/>
      <c r="BF10" s="1384"/>
      <c r="BG10" s="1384"/>
      <c r="BH10" s="1384"/>
      <c r="BK10" s="1391">
        <f>' POP. ALVO'!V40+' POP. ALVO'!V41</f>
        <v>75.45</v>
      </c>
      <c r="BL10" s="1392"/>
      <c r="BM10" s="1392"/>
      <c r="BN10" s="1392"/>
      <c r="BO10" s="1392"/>
      <c r="BP10" s="1392"/>
      <c r="BQ10" s="1392"/>
      <c r="BR10" s="1392"/>
      <c r="BS10" s="1392"/>
      <c r="BT10" s="1392"/>
      <c r="BU10" s="1393"/>
      <c r="BV10" s="135"/>
    </row>
    <row r="11" spans="1:74" s="142" customFormat="1" ht="20.100000000000001" customHeight="1" x14ac:dyDescent="0.2">
      <c r="B11" s="143"/>
      <c r="C11" s="1384"/>
      <c r="D11" s="1384"/>
      <c r="E11" s="1384"/>
      <c r="F11" s="1384"/>
      <c r="G11" s="1384"/>
      <c r="H11" s="1384"/>
      <c r="I11" s="1384"/>
      <c r="J11" s="1384"/>
      <c r="K11" s="1384"/>
      <c r="L11" s="1384"/>
      <c r="M11" s="1384"/>
      <c r="N11" s="1384"/>
      <c r="O11" s="1384"/>
      <c r="P11" s="1384"/>
      <c r="Q11" s="1399" t="s">
        <v>90</v>
      </c>
      <c r="R11" s="1399"/>
      <c r="S11" s="1399"/>
      <c r="T11" s="1399"/>
      <c r="U11" s="1399"/>
      <c r="V11" s="1399"/>
      <c r="W11" s="1399"/>
      <c r="X11" s="1399"/>
      <c r="Y11" s="1399"/>
      <c r="Z11" s="1399"/>
      <c r="AA11" s="1399"/>
      <c r="AB11" s="1399"/>
      <c r="AC11" s="1399"/>
      <c r="AD11" s="1399"/>
      <c r="AE11" s="1399"/>
      <c r="AF11" s="1399"/>
      <c r="AG11" s="1399"/>
      <c r="AH11" s="1399"/>
      <c r="AI11" s="1399"/>
      <c r="AJ11" s="1399"/>
      <c r="AK11" s="1399"/>
      <c r="AL11" s="1399"/>
      <c r="AM11" s="1399"/>
      <c r="AN11" s="1399"/>
      <c r="AO11" s="1399"/>
      <c r="AP11" s="1399"/>
      <c r="AQ11" s="1399"/>
      <c r="AR11" s="1399"/>
      <c r="AS11" s="1399"/>
      <c r="AT11" s="1399"/>
      <c r="AU11" s="1399"/>
      <c r="AV11" s="1399"/>
      <c r="AW11" s="1399"/>
      <c r="AX11" s="1399"/>
      <c r="AY11" s="1399"/>
      <c r="AZ11" s="1399"/>
      <c r="BA11" s="1399"/>
      <c r="BB11" s="1399"/>
      <c r="BC11" s="1399"/>
      <c r="BD11" s="1399"/>
      <c r="BE11" s="1399"/>
      <c r="BF11" s="1399"/>
      <c r="BG11" s="1399"/>
      <c r="BH11" s="1399"/>
      <c r="BI11" s="139"/>
      <c r="BJ11" s="144"/>
      <c r="BK11" s="1395">
        <f>SUM(BK9:BU10)</f>
        <v>92.25</v>
      </c>
      <c r="BL11" s="1395"/>
      <c r="BM11" s="1395"/>
      <c r="BN11" s="1395"/>
      <c r="BO11" s="1395"/>
      <c r="BP11" s="1395"/>
      <c r="BQ11" s="1395"/>
      <c r="BR11" s="1395"/>
      <c r="BS11" s="1395"/>
      <c r="BT11" s="1395"/>
      <c r="BU11" s="1395"/>
      <c r="BV11" s="141"/>
    </row>
    <row r="12" spans="1:74" s="134" customFormat="1" ht="8.1" customHeight="1" x14ac:dyDescent="0.2">
      <c r="B12" s="145"/>
      <c r="C12" s="145"/>
      <c r="D12" s="146"/>
      <c r="E12" s="145"/>
      <c r="F12" s="142"/>
      <c r="G12" s="142"/>
      <c r="H12" s="142"/>
      <c r="I12" s="142"/>
      <c r="J12" s="142"/>
      <c r="K12" s="142"/>
      <c r="L12" s="142"/>
      <c r="M12" s="142"/>
      <c r="N12" s="142"/>
      <c r="O12" s="142"/>
      <c r="P12" s="142"/>
      <c r="Q12" s="142"/>
      <c r="R12" s="142"/>
      <c r="S12" s="142"/>
      <c r="T12" s="142"/>
      <c r="U12" s="142"/>
      <c r="V12" s="142"/>
      <c r="W12" s="142"/>
      <c r="X12" s="142"/>
      <c r="Y12" s="142"/>
      <c r="Z12" s="142"/>
      <c r="BI12" s="137"/>
      <c r="BJ12" s="138"/>
      <c r="BV12" s="135"/>
    </row>
    <row r="13" spans="1:74" s="134" customFormat="1" ht="20.100000000000001" customHeight="1" x14ac:dyDescent="0.2">
      <c r="C13" s="1396" t="s">
        <v>526</v>
      </c>
      <c r="D13" s="1397"/>
      <c r="E13" s="1397"/>
      <c r="F13" s="1397"/>
      <c r="G13" s="1397"/>
      <c r="H13" s="1397"/>
      <c r="I13" s="1397"/>
      <c r="J13" s="1397"/>
      <c r="K13" s="1397"/>
      <c r="L13" s="1397"/>
      <c r="M13" s="1397"/>
      <c r="N13" s="1397"/>
      <c r="O13" s="1397"/>
      <c r="P13" s="1397"/>
      <c r="Q13" s="1397"/>
      <c r="R13" s="1397"/>
      <c r="S13" s="1397"/>
      <c r="T13" s="1397"/>
      <c r="U13" s="1397"/>
      <c r="V13" s="1397"/>
      <c r="W13" s="1397"/>
      <c r="X13" s="1397"/>
      <c r="Y13" s="1397"/>
      <c r="Z13" s="1397"/>
      <c r="AA13" s="1397"/>
      <c r="AB13" s="1397"/>
      <c r="AC13" s="1397"/>
      <c r="AD13" s="1397"/>
      <c r="AE13" s="1397"/>
      <c r="AF13" s="1397"/>
      <c r="AG13" s="1397"/>
      <c r="AH13" s="1397"/>
      <c r="AI13" s="1397"/>
      <c r="AJ13" s="1397"/>
      <c r="AK13" s="1397"/>
      <c r="AL13" s="1397"/>
      <c r="AM13" s="1397"/>
      <c r="AN13" s="1397"/>
      <c r="AO13" s="1397"/>
      <c r="AP13" s="1397"/>
      <c r="AQ13" s="1397"/>
      <c r="AR13" s="1397"/>
      <c r="AS13" s="1397"/>
      <c r="AT13" s="1397"/>
      <c r="AU13" s="1397"/>
      <c r="AV13" s="1397"/>
      <c r="AW13" s="1397"/>
      <c r="AX13" s="1397"/>
      <c r="AY13" s="1397"/>
      <c r="AZ13" s="1397"/>
      <c r="BA13" s="1397"/>
      <c r="BB13" s="1397"/>
      <c r="BC13" s="1397"/>
      <c r="BD13" s="1397"/>
      <c r="BE13" s="1397"/>
      <c r="BF13" s="1397"/>
      <c r="BG13" s="1397"/>
      <c r="BH13" s="1398"/>
      <c r="BK13" s="1383">
        <f>(HIPERTENSO!S23+HIPERTENSO!S24)*HIPERTENSO!V58</f>
        <v>120</v>
      </c>
      <c r="BL13" s="1383"/>
      <c r="BM13" s="1383"/>
      <c r="BN13" s="1383"/>
      <c r="BO13" s="1383"/>
      <c r="BP13" s="1383"/>
      <c r="BQ13" s="1383"/>
      <c r="BR13" s="1383"/>
      <c r="BS13" s="1383"/>
      <c r="BT13" s="1383"/>
      <c r="BU13" s="1383"/>
    </row>
    <row r="14" spans="1:74" s="134" customFormat="1" ht="8.1" customHeight="1" x14ac:dyDescent="0.25">
      <c r="A14" s="133"/>
      <c r="B14" s="135"/>
      <c r="C14" s="147"/>
      <c r="D14" s="135"/>
      <c r="E14" s="147"/>
      <c r="F14" s="141"/>
      <c r="G14" s="147"/>
      <c r="H14" s="141"/>
      <c r="I14" s="147"/>
      <c r="J14" s="141"/>
      <c r="K14" s="147"/>
      <c r="L14" s="141"/>
      <c r="M14" s="147"/>
      <c r="N14" s="141"/>
      <c r="O14" s="147"/>
      <c r="P14" s="141"/>
      <c r="Q14" s="147"/>
      <c r="R14" s="147"/>
      <c r="S14" s="147"/>
      <c r="T14" s="147"/>
      <c r="U14" s="147"/>
      <c r="V14" s="147"/>
      <c r="W14" s="147"/>
      <c r="X14" s="147"/>
      <c r="Y14" s="147"/>
      <c r="Z14" s="147"/>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5"/>
      <c r="AZ14" s="133"/>
      <c r="BA14" s="135"/>
      <c r="BB14" s="133"/>
      <c r="BC14" s="135"/>
      <c r="BD14" s="133"/>
      <c r="BE14" s="135"/>
      <c r="BF14" s="133"/>
      <c r="BG14" s="135"/>
      <c r="BH14" s="133"/>
      <c r="BI14" s="135"/>
      <c r="BJ14" s="133"/>
      <c r="BK14" s="135"/>
      <c r="BL14" s="133"/>
      <c r="BM14" s="135"/>
      <c r="BN14" s="133"/>
      <c r="BO14" s="135"/>
      <c r="BP14" s="135"/>
      <c r="BQ14" s="135"/>
      <c r="BR14" s="133"/>
      <c r="BS14" s="135"/>
      <c r="BT14" s="133"/>
      <c r="BU14" s="135"/>
      <c r="BV14" s="133"/>
    </row>
    <row r="15" spans="1:74" s="134" customFormat="1" ht="20.100000000000001" customHeight="1" x14ac:dyDescent="0.25">
      <c r="B15" s="141"/>
      <c r="C15" s="1396" t="s">
        <v>527</v>
      </c>
      <c r="D15" s="1397"/>
      <c r="E15" s="1397"/>
      <c r="F15" s="1397"/>
      <c r="G15" s="1397"/>
      <c r="H15" s="1397"/>
      <c r="I15" s="1397"/>
      <c r="J15" s="1397"/>
      <c r="K15" s="1397"/>
      <c r="L15" s="1397"/>
      <c r="M15" s="1397"/>
      <c r="N15" s="1397"/>
      <c r="O15" s="1397"/>
      <c r="P15" s="1397"/>
      <c r="Q15" s="1397"/>
      <c r="R15" s="1397"/>
      <c r="S15" s="1397"/>
      <c r="T15" s="1397"/>
      <c r="U15" s="1397"/>
      <c r="V15" s="1397"/>
      <c r="W15" s="1397"/>
      <c r="X15" s="1397"/>
      <c r="Y15" s="1397"/>
      <c r="Z15" s="1397"/>
      <c r="AA15" s="1397"/>
      <c r="AB15" s="1397"/>
      <c r="AC15" s="1397"/>
      <c r="AD15" s="1397"/>
      <c r="AE15" s="1397"/>
      <c r="AF15" s="1397"/>
      <c r="AG15" s="1397"/>
      <c r="AH15" s="1397"/>
      <c r="AI15" s="1397"/>
      <c r="AJ15" s="1397"/>
      <c r="AK15" s="1397"/>
      <c r="AL15" s="1397"/>
      <c r="AM15" s="1397"/>
      <c r="AN15" s="1397"/>
      <c r="AO15" s="1397"/>
      <c r="AP15" s="1397"/>
      <c r="AQ15" s="1397"/>
      <c r="AR15" s="1397"/>
      <c r="AS15" s="1397"/>
      <c r="AT15" s="1397"/>
      <c r="AU15" s="1397"/>
      <c r="AV15" s="1397"/>
      <c r="AW15" s="1397"/>
      <c r="AX15" s="1397"/>
      <c r="AY15" s="1397"/>
      <c r="AZ15" s="1397"/>
      <c r="BA15" s="1397"/>
      <c r="BB15" s="1397"/>
      <c r="BC15" s="1397"/>
      <c r="BD15" s="1397"/>
      <c r="BE15" s="1397"/>
      <c r="BF15" s="1397"/>
      <c r="BG15" s="1397"/>
      <c r="BH15" s="1398"/>
      <c r="BI15" s="133"/>
      <c r="BJ15" s="133"/>
      <c r="BK15" s="1383">
        <f>((DIABÉTICO!U23+DIABÉTICO!U24)*DIABÉTICO!V56)+((DIABÉTICO!S23+DIABÉTICO!S24)*DIABÉTICO!V57)</f>
        <v>42.370200000000004</v>
      </c>
      <c r="BL15" s="1383"/>
      <c r="BM15" s="1383"/>
      <c r="BN15" s="1383"/>
      <c r="BO15" s="1383"/>
      <c r="BP15" s="1383"/>
      <c r="BQ15" s="1383"/>
      <c r="BR15" s="1383"/>
      <c r="BS15" s="1383"/>
      <c r="BT15" s="1383"/>
      <c r="BU15" s="1383"/>
      <c r="BV15" s="135"/>
    </row>
    <row r="16" spans="1:74" s="134" customFormat="1" ht="7.5" customHeight="1" x14ac:dyDescent="0.25">
      <c r="B16" s="141"/>
      <c r="C16" s="141"/>
      <c r="D16" s="148"/>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33"/>
      <c r="BJ16" s="133"/>
      <c r="BK16" s="135"/>
      <c r="BL16" s="135"/>
      <c r="BM16" s="135"/>
      <c r="BN16" s="135"/>
      <c r="BO16" s="135"/>
      <c r="BP16" s="135"/>
      <c r="BQ16" s="135"/>
      <c r="BR16" s="135"/>
      <c r="BS16" s="135"/>
      <c r="BT16" s="135"/>
      <c r="BU16" s="135"/>
      <c r="BV16" s="135"/>
    </row>
    <row r="17" spans="2:74" s="134" customFormat="1" ht="20.100000000000001" customHeight="1" x14ac:dyDescent="0.25">
      <c r="B17" s="141"/>
      <c r="C17" s="1396" t="s">
        <v>343</v>
      </c>
      <c r="D17" s="1397"/>
      <c r="E17" s="1397"/>
      <c r="F17" s="1397"/>
      <c r="G17" s="1397"/>
      <c r="H17" s="1397"/>
      <c r="I17" s="1397"/>
      <c r="J17" s="1397"/>
      <c r="K17" s="1397"/>
      <c r="L17" s="1397"/>
      <c r="M17" s="1397"/>
      <c r="N17" s="1397"/>
      <c r="O17" s="1397"/>
      <c r="P17" s="1397"/>
      <c r="Q17" s="1397"/>
      <c r="R17" s="1397"/>
      <c r="S17" s="1397"/>
      <c r="T17" s="1397"/>
      <c r="U17" s="1397"/>
      <c r="V17" s="1397"/>
      <c r="W17" s="1397"/>
      <c r="X17" s="1397"/>
      <c r="Y17" s="1397"/>
      <c r="Z17" s="1397"/>
      <c r="AA17" s="1397"/>
      <c r="AB17" s="1397"/>
      <c r="AC17" s="1397"/>
      <c r="AD17" s="1397"/>
      <c r="AE17" s="1397"/>
      <c r="AF17" s="1397"/>
      <c r="AG17" s="1397"/>
      <c r="AH17" s="1397"/>
      <c r="AI17" s="1397"/>
      <c r="AJ17" s="1397"/>
      <c r="AK17" s="1397"/>
      <c r="AL17" s="1397"/>
      <c r="AM17" s="1397"/>
      <c r="AN17" s="1397"/>
      <c r="AO17" s="1397"/>
      <c r="AP17" s="1397"/>
      <c r="AQ17" s="1397"/>
      <c r="AR17" s="1397"/>
      <c r="AS17" s="1397"/>
      <c r="AT17" s="1397"/>
      <c r="AU17" s="1397"/>
      <c r="AV17" s="1397"/>
      <c r="AW17" s="1397"/>
      <c r="AX17" s="1397"/>
      <c r="AY17" s="1397"/>
      <c r="AZ17" s="1397"/>
      <c r="BA17" s="1397"/>
      <c r="BB17" s="1397"/>
      <c r="BC17" s="1397"/>
      <c r="BD17" s="1397"/>
      <c r="BE17" s="1397"/>
      <c r="BF17" s="1397"/>
      <c r="BG17" s="1397"/>
      <c r="BH17" s="1398"/>
      <c r="BI17" s="133"/>
      <c r="BJ17" s="133"/>
      <c r="BK17" s="1383">
        <f>IDOSO!Q22*IDOSO!V52</f>
        <v>28</v>
      </c>
      <c r="BL17" s="1383"/>
      <c r="BM17" s="1383"/>
      <c r="BN17" s="1383"/>
      <c r="BO17" s="1383"/>
      <c r="BP17" s="1383"/>
      <c r="BQ17" s="1383"/>
      <c r="BR17" s="1383"/>
      <c r="BS17" s="1383"/>
      <c r="BT17" s="1383"/>
      <c r="BU17" s="1383"/>
      <c r="BV17" s="135"/>
    </row>
    <row r="18" spans="2:74" s="134" customFormat="1" ht="7.5" customHeight="1" x14ac:dyDescent="0.25">
      <c r="B18" s="141"/>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c r="BI18" s="133"/>
      <c r="BJ18" s="133"/>
      <c r="BK18" s="135"/>
      <c r="BL18" s="135"/>
      <c r="BM18" s="135"/>
      <c r="BN18" s="135"/>
      <c r="BO18" s="135"/>
      <c r="BP18" s="135"/>
      <c r="BQ18" s="135"/>
      <c r="BR18" s="135"/>
      <c r="BS18" s="135"/>
      <c r="BT18" s="135"/>
      <c r="BU18" s="135"/>
      <c r="BV18" s="135"/>
    </row>
    <row r="19" spans="2:74" s="134" customFormat="1" ht="20.100000000000001" customHeight="1" x14ac:dyDescent="0.25">
      <c r="B19" s="141"/>
      <c r="C19" s="1396" t="s">
        <v>542</v>
      </c>
      <c r="D19" s="1397"/>
      <c r="E19" s="1397"/>
      <c r="F19" s="1397"/>
      <c r="G19" s="1397"/>
      <c r="H19" s="1397"/>
      <c r="I19" s="1397"/>
      <c r="J19" s="1397"/>
      <c r="K19" s="1397"/>
      <c r="L19" s="1397"/>
      <c r="M19" s="1397"/>
      <c r="N19" s="1397"/>
      <c r="O19" s="1397"/>
      <c r="P19" s="1397"/>
      <c r="Q19" s="1397"/>
      <c r="R19" s="1397"/>
      <c r="S19" s="1397"/>
      <c r="T19" s="1397"/>
      <c r="U19" s="1397"/>
      <c r="V19" s="1397"/>
      <c r="W19" s="1397"/>
      <c r="X19" s="1397"/>
      <c r="Y19" s="1397"/>
      <c r="Z19" s="1397"/>
      <c r="AA19" s="1397"/>
      <c r="AB19" s="1397"/>
      <c r="AC19" s="1397"/>
      <c r="AD19" s="1397"/>
      <c r="AE19" s="1397"/>
      <c r="AF19" s="1397"/>
      <c r="AG19" s="1397"/>
      <c r="AH19" s="1397"/>
      <c r="AI19" s="1397"/>
      <c r="AJ19" s="1397"/>
      <c r="AK19" s="1397"/>
      <c r="AL19" s="1397"/>
      <c r="AM19" s="1397"/>
      <c r="AN19" s="1397"/>
      <c r="AO19" s="1397"/>
      <c r="AP19" s="1397"/>
      <c r="AQ19" s="1397"/>
      <c r="AR19" s="1397"/>
      <c r="AS19" s="1397"/>
      <c r="AT19" s="1397"/>
      <c r="AU19" s="1397"/>
      <c r="AV19" s="1397"/>
      <c r="AW19" s="1397"/>
      <c r="AX19" s="1397"/>
      <c r="AY19" s="1397"/>
      <c r="AZ19" s="1397"/>
      <c r="BA19" s="1397"/>
      <c r="BB19" s="1397"/>
      <c r="BC19" s="1397"/>
      <c r="BD19" s="1397"/>
      <c r="BE19" s="1397"/>
      <c r="BF19" s="1397"/>
      <c r="BG19" s="1397"/>
      <c r="BH19" s="1398"/>
      <c r="BI19" s="133"/>
      <c r="BJ19" s="133"/>
      <c r="BK19" s="1383">
        <f>((CADASTRO!AU28+CADASTRO!AU29+CADASTRO!AU30+CADASTRO!AU31)+(CADASTRO!BG30+CADASTRO!BG31))*IDOSO!X66</f>
        <v>59</v>
      </c>
      <c r="BL19" s="1383"/>
      <c r="BM19" s="1383"/>
      <c r="BN19" s="1383"/>
      <c r="BO19" s="1383"/>
      <c r="BP19" s="1383"/>
      <c r="BQ19" s="1383"/>
      <c r="BR19" s="1383"/>
      <c r="BS19" s="1383"/>
      <c r="BT19" s="1383"/>
      <c r="BU19" s="1383"/>
      <c r="BV19" s="135"/>
    </row>
    <row r="20" spans="2:74" s="134" customFormat="1" ht="7.5" customHeight="1" x14ac:dyDescent="0.25">
      <c r="B20" s="141"/>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33"/>
      <c r="BJ20" s="133"/>
      <c r="BK20" s="135"/>
      <c r="BL20" s="135"/>
      <c r="BM20" s="135"/>
      <c r="BN20" s="135"/>
      <c r="BO20" s="135"/>
      <c r="BP20" s="135"/>
      <c r="BQ20" s="135"/>
      <c r="BR20" s="135"/>
      <c r="BS20" s="135"/>
      <c r="BT20" s="135"/>
      <c r="BU20" s="135"/>
      <c r="BV20" s="135"/>
    </row>
    <row r="21" spans="2:74" s="134" customFormat="1" ht="20.100000000000001" customHeight="1" x14ac:dyDescent="0.25">
      <c r="B21" s="141"/>
      <c r="C21" s="1396" t="s">
        <v>543</v>
      </c>
      <c r="D21" s="1397"/>
      <c r="E21" s="1397"/>
      <c r="F21" s="1397"/>
      <c r="G21" s="1397"/>
      <c r="H21" s="1397"/>
      <c r="I21" s="1397"/>
      <c r="J21" s="1397"/>
      <c r="K21" s="1397"/>
      <c r="L21" s="1397"/>
      <c r="M21" s="1397"/>
      <c r="N21" s="1397"/>
      <c r="O21" s="1397"/>
      <c r="P21" s="1397"/>
      <c r="Q21" s="1397"/>
      <c r="R21" s="1397"/>
      <c r="S21" s="1397"/>
      <c r="T21" s="1397"/>
      <c r="U21" s="1397"/>
      <c r="V21" s="1397"/>
      <c r="W21" s="1397"/>
      <c r="X21" s="1397"/>
      <c r="Y21" s="1397"/>
      <c r="Z21" s="1397"/>
      <c r="AA21" s="1397"/>
      <c r="AB21" s="1397"/>
      <c r="AC21" s="1397"/>
      <c r="AD21" s="1397"/>
      <c r="AE21" s="1397"/>
      <c r="AF21" s="1397"/>
      <c r="AG21" s="1397"/>
      <c r="AH21" s="1397"/>
      <c r="AI21" s="1397"/>
      <c r="AJ21" s="1397"/>
      <c r="AK21" s="1397"/>
      <c r="AL21" s="1397"/>
      <c r="AM21" s="1397"/>
      <c r="AN21" s="1397"/>
      <c r="AO21" s="1397"/>
      <c r="AP21" s="1397"/>
      <c r="AQ21" s="1397"/>
      <c r="AR21" s="1397"/>
      <c r="AS21" s="1397"/>
      <c r="AT21" s="1397"/>
      <c r="AU21" s="1397"/>
      <c r="AV21" s="1397"/>
      <c r="AW21" s="1397"/>
      <c r="AX21" s="1397"/>
      <c r="AY21" s="1397"/>
      <c r="AZ21" s="1397"/>
      <c r="BA21" s="1397"/>
      <c r="BB21" s="1397"/>
      <c r="BC21" s="1397"/>
      <c r="BD21" s="1397"/>
      <c r="BE21" s="1397"/>
      <c r="BF21" s="1397"/>
      <c r="BG21" s="1397"/>
      <c r="BH21" s="1398"/>
      <c r="BI21" s="133"/>
      <c r="BJ21" s="133"/>
      <c r="BK21" s="1383">
        <f>(CADASTRO!BG27+CADASTRO!BG28+CADASTRO!BG29)*IDOSO!X65</f>
        <v>56</v>
      </c>
      <c r="BL21" s="1383"/>
      <c r="BM21" s="1383"/>
      <c r="BN21" s="1383"/>
      <c r="BO21" s="1383"/>
      <c r="BP21" s="1383"/>
      <c r="BQ21" s="1383"/>
      <c r="BR21" s="1383"/>
      <c r="BS21" s="1383"/>
      <c r="BT21" s="1383"/>
      <c r="BU21" s="1383"/>
      <c r="BV21" s="135"/>
    </row>
    <row r="22" spans="2:74" s="134" customFormat="1" ht="7.5" customHeight="1" x14ac:dyDescent="0.25">
      <c r="B22" s="141"/>
      <c r="C22" s="141"/>
      <c r="D22" s="148"/>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33"/>
      <c r="BJ22" s="133"/>
      <c r="BK22" s="135"/>
      <c r="BL22" s="135"/>
      <c r="BM22" s="135"/>
      <c r="BN22" s="135"/>
      <c r="BO22" s="135"/>
      <c r="BP22" s="135"/>
      <c r="BQ22" s="135"/>
      <c r="BR22" s="135"/>
      <c r="BS22" s="135"/>
      <c r="BT22" s="135"/>
      <c r="BU22" s="135"/>
      <c r="BV22" s="135"/>
    </row>
    <row r="23" spans="2:74" s="134" customFormat="1" ht="20.100000000000001" customHeight="1" x14ac:dyDescent="0.25">
      <c r="B23" s="141"/>
      <c r="C23" s="1396" t="s">
        <v>538</v>
      </c>
      <c r="D23" s="1397"/>
      <c r="E23" s="1397"/>
      <c r="F23" s="1397"/>
      <c r="G23" s="1397"/>
      <c r="H23" s="1397"/>
      <c r="I23" s="1397"/>
      <c r="J23" s="1397"/>
      <c r="K23" s="1397"/>
      <c r="L23" s="1397"/>
      <c r="M23" s="1397"/>
      <c r="N23" s="1397"/>
      <c r="O23" s="1397"/>
      <c r="P23" s="1397"/>
      <c r="Q23" s="1397"/>
      <c r="R23" s="1397"/>
      <c r="S23" s="1397"/>
      <c r="T23" s="1397"/>
      <c r="U23" s="1397"/>
      <c r="V23" s="1397"/>
      <c r="W23" s="1397"/>
      <c r="X23" s="1397"/>
      <c r="Y23" s="1397"/>
      <c r="Z23" s="1397"/>
      <c r="AA23" s="1397"/>
      <c r="AB23" s="1397"/>
      <c r="AC23" s="1397"/>
      <c r="AD23" s="1397"/>
      <c r="AE23" s="1397"/>
      <c r="AF23" s="1397"/>
      <c r="AG23" s="1397"/>
      <c r="AH23" s="1397"/>
      <c r="AI23" s="1397"/>
      <c r="AJ23" s="1397"/>
      <c r="AK23" s="1397"/>
      <c r="AL23" s="1397"/>
      <c r="AM23" s="1397"/>
      <c r="AN23" s="1397"/>
      <c r="AO23" s="1397"/>
      <c r="AP23" s="1397"/>
      <c r="AQ23" s="1397"/>
      <c r="AR23" s="1397"/>
      <c r="AS23" s="1397"/>
      <c r="AT23" s="1397"/>
      <c r="AU23" s="1397"/>
      <c r="AV23" s="1397"/>
      <c r="AW23" s="1397"/>
      <c r="AX23" s="1397"/>
      <c r="AY23" s="1397"/>
      <c r="AZ23" s="1397"/>
      <c r="BA23" s="1397"/>
      <c r="BB23" s="1397"/>
      <c r="BC23" s="1397"/>
      <c r="BD23" s="1397"/>
      <c r="BE23" s="1397"/>
      <c r="BF23" s="1397"/>
      <c r="BG23" s="1397"/>
      <c r="BH23" s="1398"/>
      <c r="BI23" s="133"/>
      <c r="BJ23" s="133"/>
      <c r="BK23" s="1383">
        <f>MULHER!U16*MULHER!V44</f>
        <v>6.0472800000000007</v>
      </c>
      <c r="BL23" s="1383"/>
      <c r="BM23" s="1383"/>
      <c r="BN23" s="1383"/>
      <c r="BO23" s="1383"/>
      <c r="BP23" s="1383"/>
      <c r="BQ23" s="1383"/>
      <c r="BR23" s="1383"/>
      <c r="BS23" s="1383"/>
      <c r="BT23" s="1383"/>
      <c r="BU23" s="1383"/>
      <c r="BV23" s="135"/>
    </row>
    <row r="24" spans="2:74" s="134" customFormat="1" ht="7.5" customHeight="1" x14ac:dyDescent="0.25">
      <c r="B24" s="141"/>
      <c r="C24" s="141"/>
      <c r="D24" s="148"/>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33"/>
      <c r="BJ24" s="133"/>
      <c r="BK24" s="135"/>
      <c r="BL24" s="135"/>
      <c r="BM24" s="135"/>
      <c r="BN24" s="135"/>
      <c r="BO24" s="135"/>
      <c r="BP24" s="135"/>
      <c r="BQ24" s="135"/>
      <c r="BR24" s="135"/>
      <c r="BS24" s="135"/>
      <c r="BT24" s="135"/>
      <c r="BU24" s="135"/>
      <c r="BV24" s="135"/>
    </row>
    <row r="25" spans="2:74" s="134" customFormat="1" ht="20.100000000000001" customHeight="1" x14ac:dyDescent="0.25">
      <c r="B25" s="141"/>
      <c r="C25" s="1396" t="s">
        <v>539</v>
      </c>
      <c r="D25" s="1397"/>
      <c r="E25" s="1397"/>
      <c r="F25" s="1397"/>
      <c r="G25" s="1397"/>
      <c r="H25" s="1397"/>
      <c r="I25" s="1397"/>
      <c r="J25" s="1397"/>
      <c r="K25" s="1397"/>
      <c r="L25" s="1397"/>
      <c r="M25" s="1397"/>
      <c r="N25" s="1397"/>
      <c r="O25" s="1397"/>
      <c r="P25" s="1397"/>
      <c r="Q25" s="1397"/>
      <c r="R25" s="1397"/>
      <c r="S25" s="1397"/>
      <c r="T25" s="1397"/>
      <c r="U25" s="1397"/>
      <c r="V25" s="1397"/>
      <c r="W25" s="1397"/>
      <c r="X25" s="1397"/>
      <c r="Y25" s="1397"/>
      <c r="Z25" s="1397"/>
      <c r="AA25" s="1397"/>
      <c r="AB25" s="1397"/>
      <c r="AC25" s="1397"/>
      <c r="AD25" s="1397"/>
      <c r="AE25" s="1397"/>
      <c r="AF25" s="1397"/>
      <c r="AG25" s="1397"/>
      <c r="AH25" s="1397"/>
      <c r="AI25" s="1397"/>
      <c r="AJ25" s="1397"/>
      <c r="AK25" s="1397"/>
      <c r="AL25" s="1397"/>
      <c r="AM25" s="1397"/>
      <c r="AN25" s="1397"/>
      <c r="AO25" s="1397"/>
      <c r="AP25" s="1397"/>
      <c r="AQ25" s="1397"/>
      <c r="AR25" s="1397"/>
      <c r="AS25" s="1397"/>
      <c r="AT25" s="1397"/>
      <c r="AU25" s="1397"/>
      <c r="AV25" s="1397"/>
      <c r="AW25" s="1397"/>
      <c r="AX25" s="1397"/>
      <c r="AY25" s="1397"/>
      <c r="AZ25" s="1397"/>
      <c r="BA25" s="1397"/>
      <c r="BB25" s="1397"/>
      <c r="BC25" s="1397"/>
      <c r="BD25" s="1397"/>
      <c r="BE25" s="1397"/>
      <c r="BF25" s="1397"/>
      <c r="BG25" s="1397"/>
      <c r="BH25" s="1398"/>
      <c r="BI25" s="133"/>
      <c r="BJ25" s="133"/>
      <c r="BK25" s="1383">
        <f>MULHER!U12*MULHER!V45</f>
        <v>17.579999999999998</v>
      </c>
      <c r="BL25" s="1383"/>
      <c r="BM25" s="1383"/>
      <c r="BN25" s="1383"/>
      <c r="BO25" s="1383"/>
      <c r="BP25" s="1383"/>
      <c r="BQ25" s="1383"/>
      <c r="BR25" s="1383"/>
      <c r="BS25" s="1383"/>
      <c r="BT25" s="1383"/>
      <c r="BU25" s="1383"/>
      <c r="BV25" s="135"/>
    </row>
    <row r="26" spans="2:74" s="134" customFormat="1" ht="9" customHeight="1" x14ac:dyDescent="0.25">
      <c r="B26" s="141"/>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33"/>
      <c r="BJ26" s="133"/>
      <c r="BK26" s="135"/>
      <c r="BL26" s="135"/>
      <c r="BM26" s="135"/>
      <c r="BN26" s="135"/>
      <c r="BO26" s="135"/>
      <c r="BP26" s="135"/>
      <c r="BQ26" s="135"/>
      <c r="BR26" s="135"/>
      <c r="BS26" s="135"/>
      <c r="BT26" s="135"/>
      <c r="BU26" s="135"/>
      <c r="BV26" s="135"/>
    </row>
    <row r="27" spans="2:74" s="134" customFormat="1" ht="20.100000000000001" customHeight="1" x14ac:dyDescent="0.25">
      <c r="B27" s="141"/>
      <c r="C27" s="1396" t="s">
        <v>540</v>
      </c>
      <c r="D27" s="1397"/>
      <c r="E27" s="1397"/>
      <c r="F27" s="1397"/>
      <c r="G27" s="1397"/>
      <c r="H27" s="1397"/>
      <c r="I27" s="1397"/>
      <c r="J27" s="1397"/>
      <c r="K27" s="1397"/>
      <c r="L27" s="1397"/>
      <c r="M27" s="1397"/>
      <c r="N27" s="1397"/>
      <c r="O27" s="1397"/>
      <c r="P27" s="1397"/>
      <c r="Q27" s="1397"/>
      <c r="R27" s="1397"/>
      <c r="S27" s="1397"/>
      <c r="T27" s="1397"/>
      <c r="U27" s="1397"/>
      <c r="V27" s="1397"/>
      <c r="W27" s="1397"/>
      <c r="X27" s="1397"/>
      <c r="Y27" s="1397"/>
      <c r="Z27" s="1397"/>
      <c r="AA27" s="1397"/>
      <c r="AB27" s="1397"/>
      <c r="AC27" s="1397"/>
      <c r="AD27" s="1397"/>
      <c r="AE27" s="1397"/>
      <c r="AF27" s="1397"/>
      <c r="AG27" s="1397"/>
      <c r="AH27" s="1397"/>
      <c r="AI27" s="1397"/>
      <c r="AJ27" s="1397"/>
      <c r="AK27" s="1397"/>
      <c r="AL27" s="1397"/>
      <c r="AM27" s="1397"/>
      <c r="AN27" s="1397"/>
      <c r="AO27" s="1397"/>
      <c r="AP27" s="1397"/>
      <c r="AQ27" s="1397"/>
      <c r="AR27" s="1397"/>
      <c r="AS27" s="1397"/>
      <c r="AT27" s="1397"/>
      <c r="AU27" s="1397"/>
      <c r="AV27" s="1397"/>
      <c r="AW27" s="1397"/>
      <c r="AX27" s="1397"/>
      <c r="AY27" s="1397"/>
      <c r="AZ27" s="1397"/>
      <c r="BA27" s="1397"/>
      <c r="BB27" s="1397"/>
      <c r="BC27" s="1397"/>
      <c r="BD27" s="1397"/>
      <c r="BE27" s="1397"/>
      <c r="BF27" s="1397"/>
      <c r="BG27" s="1397"/>
      <c r="BH27" s="1398"/>
      <c r="BI27" s="133"/>
      <c r="BJ27" s="133"/>
      <c r="BK27" s="1383">
        <f>MULHER!U12*MULHER!V45</f>
        <v>17.579999999999998</v>
      </c>
      <c r="BL27" s="1383"/>
      <c r="BM27" s="1383"/>
      <c r="BN27" s="1383"/>
      <c r="BO27" s="1383"/>
      <c r="BP27" s="1383"/>
      <c r="BQ27" s="1383"/>
      <c r="BR27" s="1383"/>
      <c r="BS27" s="1383"/>
      <c r="BT27" s="1383"/>
      <c r="BU27" s="1383"/>
      <c r="BV27" s="135"/>
    </row>
    <row r="28" spans="2:74" s="134" customFormat="1" ht="7.5" customHeight="1" x14ac:dyDescent="0.25">
      <c r="B28" s="141"/>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33"/>
      <c r="BJ28" s="133"/>
      <c r="BK28" s="135"/>
      <c r="BL28" s="135"/>
      <c r="BM28" s="135"/>
      <c r="BN28" s="135"/>
      <c r="BO28" s="135"/>
      <c r="BP28" s="135"/>
      <c r="BQ28" s="135"/>
      <c r="BR28" s="135"/>
      <c r="BS28" s="135"/>
      <c r="BT28" s="135"/>
      <c r="BU28" s="135"/>
      <c r="BV28" s="135"/>
    </row>
    <row r="29" spans="2:74" s="134" customFormat="1" ht="20.100000000000001" customHeight="1" x14ac:dyDescent="0.25">
      <c r="B29" s="141"/>
      <c r="C29" s="1396" t="s">
        <v>541</v>
      </c>
      <c r="D29" s="1397"/>
      <c r="E29" s="1397"/>
      <c r="F29" s="1397"/>
      <c r="G29" s="1397"/>
      <c r="H29" s="1397"/>
      <c r="I29" s="1397"/>
      <c r="J29" s="1397"/>
      <c r="K29" s="1397"/>
      <c r="L29" s="1397"/>
      <c r="M29" s="1397"/>
      <c r="N29" s="1397"/>
      <c r="O29" s="1397"/>
      <c r="P29" s="1397"/>
      <c r="Q29" s="1397"/>
      <c r="R29" s="1397"/>
      <c r="S29" s="1397"/>
      <c r="T29" s="1397"/>
      <c r="U29" s="1397"/>
      <c r="V29" s="1397"/>
      <c r="W29" s="1397"/>
      <c r="X29" s="1397"/>
      <c r="Y29" s="1397"/>
      <c r="Z29" s="1397"/>
      <c r="AA29" s="1397"/>
      <c r="AB29" s="1397"/>
      <c r="AC29" s="1397"/>
      <c r="AD29" s="1397"/>
      <c r="AE29" s="1397"/>
      <c r="AF29" s="1397"/>
      <c r="AG29" s="1397"/>
      <c r="AH29" s="1397"/>
      <c r="AI29" s="1397"/>
      <c r="AJ29" s="1397"/>
      <c r="AK29" s="1397"/>
      <c r="AL29" s="1397"/>
      <c r="AM29" s="1397"/>
      <c r="AN29" s="1397"/>
      <c r="AO29" s="1397"/>
      <c r="AP29" s="1397"/>
      <c r="AQ29" s="1397"/>
      <c r="AR29" s="1397"/>
      <c r="AS29" s="1397"/>
      <c r="AT29" s="1397"/>
      <c r="AU29" s="1397"/>
      <c r="AV29" s="1397"/>
      <c r="AW29" s="1397"/>
      <c r="AX29" s="1397"/>
      <c r="AY29" s="1397"/>
      <c r="AZ29" s="1397"/>
      <c r="BA29" s="1397"/>
      <c r="BB29" s="1397"/>
      <c r="BC29" s="1397"/>
      <c r="BD29" s="1397"/>
      <c r="BE29" s="1397"/>
      <c r="BF29" s="1397"/>
      <c r="BG29" s="1397"/>
      <c r="BH29" s="1398"/>
      <c r="BI29" s="133"/>
      <c r="BJ29" s="133"/>
      <c r="BK29" s="1383">
        <f>MULHER!U14*MULHER!V45</f>
        <v>2.93</v>
      </c>
      <c r="BL29" s="1383"/>
      <c r="BM29" s="1383"/>
      <c r="BN29" s="1383"/>
      <c r="BO29" s="1383"/>
      <c r="BP29" s="1383"/>
      <c r="BQ29" s="1383"/>
      <c r="BR29" s="1383"/>
      <c r="BS29" s="1383"/>
      <c r="BT29" s="1383"/>
      <c r="BU29" s="1383"/>
      <c r="BV29" s="135"/>
    </row>
    <row r="30" spans="2:74" s="134" customFormat="1" ht="7.5" customHeight="1" x14ac:dyDescent="0.25">
      <c r="B30" s="141"/>
      <c r="C30" s="141"/>
      <c r="D30" s="148"/>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33"/>
      <c r="BJ30" s="133"/>
      <c r="BK30" s="135"/>
      <c r="BL30" s="135"/>
      <c r="BM30" s="135"/>
      <c r="BN30" s="135"/>
      <c r="BO30" s="135"/>
      <c r="BP30" s="135"/>
      <c r="BQ30" s="135"/>
      <c r="BR30" s="135"/>
      <c r="BS30" s="135"/>
      <c r="BT30" s="135"/>
      <c r="BU30" s="135"/>
      <c r="BV30" s="135"/>
    </row>
    <row r="31" spans="2:74" s="134" customFormat="1" ht="20.100000000000001" customHeight="1" x14ac:dyDescent="0.25">
      <c r="B31" s="141"/>
      <c r="C31" s="1396" t="s">
        <v>848</v>
      </c>
      <c r="D31" s="1397"/>
      <c r="E31" s="1397"/>
      <c r="F31" s="1397"/>
      <c r="G31" s="1397"/>
      <c r="H31" s="1397"/>
      <c r="I31" s="1397"/>
      <c r="J31" s="1397"/>
      <c r="K31" s="1397"/>
      <c r="L31" s="1397"/>
      <c r="M31" s="1397"/>
      <c r="N31" s="1397"/>
      <c r="O31" s="1397"/>
      <c r="P31" s="1397"/>
      <c r="Q31" s="1397"/>
      <c r="R31" s="1397"/>
      <c r="S31" s="1397"/>
      <c r="T31" s="1397"/>
      <c r="U31" s="1397"/>
      <c r="V31" s="1397"/>
      <c r="W31" s="1397"/>
      <c r="X31" s="1397"/>
      <c r="Y31" s="1397"/>
      <c r="Z31" s="1397"/>
      <c r="AA31" s="1397"/>
      <c r="AB31" s="1397"/>
      <c r="AC31" s="1397"/>
      <c r="AD31" s="1397"/>
      <c r="AE31" s="1397"/>
      <c r="AF31" s="1397"/>
      <c r="AG31" s="1397"/>
      <c r="AH31" s="1397"/>
      <c r="AI31" s="1397"/>
      <c r="AJ31" s="1397"/>
      <c r="AK31" s="1397"/>
      <c r="AL31" s="1397"/>
      <c r="AM31" s="1397"/>
      <c r="AN31" s="1397"/>
      <c r="AO31" s="1397"/>
      <c r="AP31" s="1397"/>
      <c r="AQ31" s="1397"/>
      <c r="AR31" s="1397"/>
      <c r="AS31" s="1397"/>
      <c r="AT31" s="1397"/>
      <c r="AU31" s="1397"/>
      <c r="AV31" s="1397"/>
      <c r="AW31" s="1397"/>
      <c r="AX31" s="1397"/>
      <c r="AY31" s="1397"/>
      <c r="AZ31" s="1397"/>
      <c r="BA31" s="1397"/>
      <c r="BB31" s="1397"/>
      <c r="BC31" s="1397"/>
      <c r="BD31" s="1397"/>
      <c r="BE31" s="1397"/>
      <c r="BF31" s="1397"/>
      <c r="BG31" s="1397"/>
      <c r="BH31" s="1398"/>
      <c r="BI31" s="133"/>
      <c r="BJ31" s="133"/>
      <c r="BK31" s="1383">
        <f>' POP. ALVO'!U113+' POP. ALVO'!U114</f>
        <v>12</v>
      </c>
      <c r="BL31" s="1383"/>
      <c r="BM31" s="1383"/>
      <c r="BN31" s="1383"/>
      <c r="BO31" s="1383"/>
      <c r="BP31" s="1383"/>
      <c r="BQ31" s="1383"/>
      <c r="BR31" s="1383"/>
      <c r="BS31" s="1383"/>
      <c r="BT31" s="1383"/>
      <c r="BU31" s="1383"/>
      <c r="BV31" s="135"/>
    </row>
    <row r="32" spans="2:74" s="134" customFormat="1" ht="8.1" customHeight="1" x14ac:dyDescent="0.25">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5"/>
    </row>
    <row r="33" spans="2:74" s="142" customFormat="1" ht="20.100000000000001" customHeight="1" x14ac:dyDescent="0.2">
      <c r="B33" s="141"/>
      <c r="C33" s="1394" t="s">
        <v>87</v>
      </c>
      <c r="D33" s="1394"/>
      <c r="E33" s="1394"/>
      <c r="F33" s="1394"/>
      <c r="G33" s="1394"/>
      <c r="H33" s="1394"/>
      <c r="I33" s="1394"/>
      <c r="J33" s="1394"/>
      <c r="K33" s="1394"/>
      <c r="L33" s="1394"/>
      <c r="M33" s="1394"/>
      <c r="N33" s="1394"/>
      <c r="O33" s="1394"/>
      <c r="P33" s="1394"/>
      <c r="Q33" s="1394"/>
      <c r="R33" s="1394"/>
      <c r="S33" s="1394"/>
      <c r="T33" s="1394"/>
      <c r="U33" s="1394"/>
      <c r="V33" s="1394"/>
      <c r="W33" s="1394"/>
      <c r="X33" s="1394"/>
      <c r="Y33" s="1394"/>
      <c r="Z33" s="1394"/>
      <c r="AA33" s="1394"/>
      <c r="AB33" s="1394"/>
      <c r="AC33" s="1394"/>
      <c r="AD33" s="1394"/>
      <c r="AE33" s="1394"/>
      <c r="AF33" s="1394"/>
      <c r="AG33" s="1394"/>
      <c r="AH33" s="1394"/>
      <c r="AI33" s="1394"/>
      <c r="AJ33" s="1394"/>
      <c r="AK33" s="1394"/>
      <c r="AL33" s="1394"/>
      <c r="AM33" s="1394"/>
      <c r="AN33" s="1394"/>
      <c r="AO33" s="1394"/>
      <c r="AP33" s="1394"/>
      <c r="AQ33" s="1394"/>
      <c r="AR33" s="1394"/>
      <c r="AS33" s="1394"/>
      <c r="AT33" s="1394"/>
      <c r="AU33" s="1394"/>
      <c r="AV33" s="1394"/>
      <c r="AW33" s="1394"/>
      <c r="AX33" s="1394"/>
      <c r="AY33" s="1394"/>
      <c r="AZ33" s="1394"/>
      <c r="BA33" s="1394"/>
      <c r="BB33" s="1394"/>
      <c r="BC33" s="1394"/>
      <c r="BD33" s="1394"/>
      <c r="BE33" s="1394"/>
      <c r="BF33" s="1394"/>
      <c r="BG33" s="1394"/>
      <c r="BH33" s="1394"/>
      <c r="BK33" s="1389">
        <f>SUM(BK7,BK11,BK13,BK15,BK17,BK23,BK31)</f>
        <v>309.66748000000001</v>
      </c>
      <c r="BL33" s="1390"/>
      <c r="BM33" s="1390"/>
      <c r="BN33" s="1390"/>
      <c r="BO33" s="1390"/>
      <c r="BP33" s="1390"/>
      <c r="BQ33" s="1390"/>
      <c r="BR33" s="1390"/>
      <c r="BS33" s="1390"/>
      <c r="BT33" s="1390"/>
      <c r="BU33" s="1390"/>
      <c r="BV33" s="141"/>
    </row>
    <row r="34" spans="2:74" s="134" customFormat="1" ht="24.75" customHeight="1" x14ac:dyDescent="0.25">
      <c r="B34" s="133"/>
      <c r="C34" s="133"/>
      <c r="BI34" s="133"/>
      <c r="BJ34" s="133"/>
      <c r="BK34" s="133"/>
      <c r="BL34" s="133"/>
      <c r="BM34" s="133"/>
      <c r="BN34" s="133"/>
      <c r="BO34" s="133"/>
      <c r="BP34" s="133"/>
      <c r="BQ34" s="133"/>
      <c r="BR34" s="133"/>
      <c r="BS34" s="133"/>
      <c r="BT34" s="133"/>
      <c r="BU34" s="133"/>
      <c r="BV34" s="149"/>
    </row>
    <row r="35" spans="2:74" s="134" customFormat="1" ht="24.75" customHeight="1" x14ac:dyDescent="0.25">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41"/>
    </row>
    <row r="36" spans="2:74" ht="5.0999999999999996" customHeight="1" x14ac:dyDescent="0.25">
      <c r="BV36" s="150"/>
    </row>
    <row r="37" spans="2:74" s="134" customFormat="1" ht="24.75" customHeight="1" x14ac:dyDescent="0.25">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49"/>
    </row>
    <row r="38" spans="2:74" ht="19.5" customHeight="1" x14ac:dyDescent="0.25">
      <c r="BV38" s="141"/>
    </row>
    <row r="39" spans="2:74" ht="15" customHeight="1" x14ac:dyDescent="0.25">
      <c r="BV39" s="151"/>
    </row>
    <row r="40" spans="2:74" s="134" customFormat="1" ht="30" customHeight="1" x14ac:dyDescent="0.25">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row>
    <row r="41" spans="2:74" ht="15" customHeight="1" x14ac:dyDescent="0.25"/>
  </sheetData>
  <sheetProtection sheet="1"/>
  <mergeCells count="35">
    <mergeCell ref="BK25:BU25"/>
    <mergeCell ref="C27:BH27"/>
    <mergeCell ref="BK27:BU27"/>
    <mergeCell ref="BK17:BU17"/>
    <mergeCell ref="C23:BH23"/>
    <mergeCell ref="BK23:BU23"/>
    <mergeCell ref="BK19:BU19"/>
    <mergeCell ref="C21:BH21"/>
    <mergeCell ref="BK21:BU21"/>
    <mergeCell ref="BK33:BU33"/>
    <mergeCell ref="BK10:BU10"/>
    <mergeCell ref="C33:BH33"/>
    <mergeCell ref="BK11:BU11"/>
    <mergeCell ref="C15:BH15"/>
    <mergeCell ref="C17:BH17"/>
    <mergeCell ref="BK29:BU29"/>
    <mergeCell ref="C19:BH19"/>
    <mergeCell ref="C25:BH25"/>
    <mergeCell ref="C31:BH31"/>
    <mergeCell ref="BK31:BU31"/>
    <mergeCell ref="C29:BH29"/>
    <mergeCell ref="Q10:BH10"/>
    <mergeCell ref="Q11:BH11"/>
    <mergeCell ref="BK15:BU15"/>
    <mergeCell ref="C13:BH13"/>
    <mergeCell ref="A1:P1"/>
    <mergeCell ref="B3:BV3"/>
    <mergeCell ref="C5:BH5"/>
    <mergeCell ref="BK13:BU13"/>
    <mergeCell ref="BK7:BU7"/>
    <mergeCell ref="BK9:BU9"/>
    <mergeCell ref="C9:P11"/>
    <mergeCell ref="BK5:BU5"/>
    <mergeCell ref="Q9:BH9"/>
    <mergeCell ref="C7:BH7"/>
  </mergeCells>
  <pageMargins left="0.51181102362204722" right="0.51181102362204722" top="0.78740157480314965" bottom="0.78740157480314965" header="0.31496062992125984" footer="0.31496062992125984"/>
  <pageSetup paperSize="9" scale="95"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ilha16"/>
  <dimension ref="A1:AD96"/>
  <sheetViews>
    <sheetView zoomScaleNormal="100" workbookViewId="0">
      <pane xSplit="2" topLeftCell="D1" activePane="topRight" state="frozen"/>
      <selection activeCell="X81" sqref="X81:AF81"/>
      <selection pane="topRight" activeCell="F3" sqref="F3:AA3"/>
    </sheetView>
  </sheetViews>
  <sheetFormatPr defaultColWidth="11" defaultRowHeight="15" x14ac:dyDescent="0.2"/>
  <cols>
    <col min="1" max="1" width="2.375" style="154" customWidth="1"/>
    <col min="2" max="2" width="22.625" style="154" customWidth="1"/>
    <col min="3" max="3" width="6.625" style="175" hidden="1" customWidth="1"/>
    <col min="4" max="5" width="1.625" style="154" customWidth="1"/>
    <col min="6" max="7" width="6.625" style="154" customWidth="1"/>
    <col min="8" max="8" width="1.625" style="154" customWidth="1"/>
    <col min="9" max="9" width="6.625" style="154" hidden="1" customWidth="1"/>
    <col min="10" max="11" width="6.625" style="154" customWidth="1"/>
    <col min="12" max="12" width="1.625" style="154" customWidth="1"/>
    <col min="13" max="14" width="6.625" style="154" customWidth="1"/>
    <col min="15" max="15" width="6.625" style="158" customWidth="1"/>
    <col min="16" max="16" width="1.625" style="154" customWidth="1"/>
    <col min="17" max="17" width="6.625" style="154" customWidth="1"/>
    <col min="18" max="18" width="8.25" style="154" customWidth="1"/>
    <col min="19" max="19" width="6.625" style="154" customWidth="1"/>
    <col min="20" max="20" width="1.625" style="154" customWidth="1"/>
    <col min="21" max="22" width="6.625" style="154" customWidth="1"/>
    <col min="23" max="23" width="1.625" style="154" customWidth="1"/>
    <col min="24" max="25" width="6.625" style="154" customWidth="1"/>
    <col min="26" max="26" width="1.625" style="154" customWidth="1"/>
    <col min="27" max="27" width="10.625" style="154" customWidth="1"/>
    <col min="28" max="16384" width="11" style="154"/>
  </cols>
  <sheetData>
    <row r="1" spans="1:30" s="355" customFormat="1" ht="68.25" customHeight="1" thickBot="1" x14ac:dyDescent="0.25">
      <c r="A1" s="364"/>
      <c r="B1" s="364"/>
      <c r="C1" s="364"/>
      <c r="D1" s="364"/>
      <c r="E1" s="364"/>
      <c r="F1" s="364"/>
      <c r="G1" s="364"/>
      <c r="H1" s="364"/>
      <c r="I1" s="364"/>
      <c r="J1" s="364"/>
      <c r="K1" s="364"/>
      <c r="L1" s="364"/>
      <c r="M1" s="364"/>
      <c r="N1" s="364"/>
      <c r="O1" s="364"/>
      <c r="P1" s="364"/>
    </row>
    <row r="2" spans="1:30" ht="9.75" customHeight="1" x14ac:dyDescent="0.2">
      <c r="B2" s="63"/>
      <c r="C2" s="63"/>
      <c r="F2" s="446"/>
      <c r="G2" s="446"/>
      <c r="H2" s="446"/>
      <c r="I2" s="446"/>
      <c r="J2" s="446"/>
      <c r="K2" s="446"/>
      <c r="L2" s="446"/>
      <c r="M2" s="446"/>
      <c r="N2" s="446"/>
      <c r="O2" s="446"/>
      <c r="P2" s="446"/>
      <c r="Q2" s="446"/>
      <c r="R2" s="446"/>
      <c r="S2" s="446"/>
      <c r="T2" s="446"/>
      <c r="U2" s="446"/>
      <c r="V2" s="446"/>
      <c r="W2" s="446"/>
      <c r="X2" s="446"/>
      <c r="Y2" s="446"/>
      <c r="Z2" s="446"/>
      <c r="AA2" s="446"/>
    </row>
    <row r="3" spans="1:30" ht="30" customHeight="1" x14ac:dyDescent="0.2">
      <c r="B3" s="1410"/>
      <c r="C3" s="1410"/>
      <c r="E3" s="155"/>
      <c r="F3" s="1400" t="s">
        <v>537</v>
      </c>
      <c r="G3" s="1400"/>
      <c r="H3" s="1400"/>
      <c r="I3" s="1400"/>
      <c r="J3" s="1400"/>
      <c r="K3" s="1400"/>
      <c r="L3" s="1400"/>
      <c r="M3" s="1400"/>
      <c r="N3" s="1400"/>
      <c r="O3" s="1400"/>
      <c r="P3" s="1400"/>
      <c r="Q3" s="1400"/>
      <c r="R3" s="1400"/>
      <c r="S3" s="1400"/>
      <c r="T3" s="1400"/>
      <c r="U3" s="1400"/>
      <c r="V3" s="1400"/>
      <c r="W3" s="1400"/>
      <c r="X3" s="1400"/>
      <c r="Y3" s="1400"/>
      <c r="Z3" s="1400"/>
      <c r="AA3" s="1400"/>
    </row>
    <row r="4" spans="1:30" ht="9.75" customHeight="1" thickBot="1" x14ac:dyDescent="0.25">
      <c r="B4" s="156"/>
      <c r="C4" s="66"/>
      <c r="E4" s="155"/>
      <c r="F4" s="66"/>
      <c r="G4" s="66"/>
      <c r="H4" s="66"/>
      <c r="I4" s="156"/>
      <c r="J4" s="156"/>
      <c r="K4" s="156"/>
      <c r="L4" s="156"/>
      <c r="M4" s="85"/>
      <c r="N4" s="66"/>
      <c r="O4" s="47"/>
      <c r="P4" s="66"/>
      <c r="Q4" s="66"/>
      <c r="R4" s="66"/>
      <c r="S4" s="66"/>
      <c r="T4" s="156"/>
      <c r="U4" s="156"/>
      <c r="V4" s="156"/>
      <c r="W4" s="156"/>
      <c r="X4" s="156"/>
      <c r="Y4" s="156"/>
      <c r="Z4" s="156"/>
      <c r="AA4" s="156"/>
    </row>
    <row r="5" spans="1:30" s="158" customFormat="1" ht="37.5" customHeight="1" x14ac:dyDescent="0.2">
      <c r="B5" s="1402"/>
      <c r="C5" s="157"/>
      <c r="E5" s="159"/>
      <c r="F5" s="1411" t="s">
        <v>58</v>
      </c>
      <c r="G5" s="1411"/>
      <c r="H5" s="160"/>
      <c r="J5" s="1411" t="s">
        <v>7</v>
      </c>
      <c r="K5" s="1411"/>
      <c r="M5" s="1411" t="s">
        <v>534</v>
      </c>
      <c r="N5" s="1411"/>
      <c r="O5" s="1411"/>
      <c r="P5" s="160"/>
      <c r="Q5" s="1411" t="s">
        <v>575</v>
      </c>
      <c r="R5" s="1411"/>
      <c r="S5" s="1411"/>
      <c r="T5" s="127"/>
      <c r="U5" s="1411" t="s">
        <v>46</v>
      </c>
      <c r="V5" s="1411"/>
      <c r="W5" s="161"/>
      <c r="X5" s="1411" t="s">
        <v>287</v>
      </c>
      <c r="Y5" s="1411"/>
      <c r="Z5" s="161"/>
      <c r="AA5" s="1406" t="s">
        <v>87</v>
      </c>
      <c r="AC5" s="169"/>
      <c r="AD5" s="169"/>
    </row>
    <row r="6" spans="1:30" s="158" customFormat="1" ht="20.25" customHeight="1" x14ac:dyDescent="0.2">
      <c r="B6" s="1402"/>
      <c r="C6" s="162"/>
      <c r="E6" s="159"/>
      <c r="F6" s="1411" t="s">
        <v>4</v>
      </c>
      <c r="G6" s="1411"/>
      <c r="H6" s="163"/>
      <c r="I6" s="164" t="s">
        <v>0</v>
      </c>
      <c r="J6" s="1034" t="s">
        <v>4</v>
      </c>
      <c r="K6" s="1034"/>
      <c r="L6" s="63"/>
      <c r="M6" s="165" t="s">
        <v>530</v>
      </c>
      <c r="N6" s="165" t="s">
        <v>107</v>
      </c>
      <c r="O6" s="165" t="s">
        <v>4</v>
      </c>
      <c r="P6" s="163"/>
      <c r="Q6" s="165" t="s">
        <v>530</v>
      </c>
      <c r="R6" s="165" t="s">
        <v>531</v>
      </c>
      <c r="S6" s="165" t="s">
        <v>4</v>
      </c>
      <c r="T6" s="127"/>
      <c r="U6" s="1034" t="s">
        <v>4</v>
      </c>
      <c r="V6" s="1034"/>
      <c r="W6" s="63"/>
      <c r="X6" s="1034" t="s">
        <v>4</v>
      </c>
      <c r="Y6" s="1034"/>
      <c r="Z6" s="63"/>
      <c r="AA6" s="1406"/>
    </row>
    <row r="7" spans="1:30" s="158" customFormat="1" ht="18" hidden="1" customHeight="1" x14ac:dyDescent="0.2">
      <c r="B7" s="166"/>
      <c r="C7" s="161"/>
      <c r="E7" s="159"/>
      <c r="F7" s="167">
        <f>' POP. ALVO'!Z9</f>
        <v>60</v>
      </c>
      <c r="G7" s="168"/>
      <c r="H7" s="168"/>
      <c r="J7" s="169">
        <f>(CRIANÇA!N28)</f>
        <v>48.763499999999993</v>
      </c>
      <c r="M7" s="170">
        <f>(DIABÉTICO!Y23+DIABÉTICO!Y24+DIABÉTICO!W24+DIABÉTICO!W23)</f>
        <v>61.855500000000006</v>
      </c>
      <c r="N7" s="167">
        <f>(DIABÉTICO!S23+DIABÉTICO!S24+DIABÉTICO!U23+DIABÉTICO!U24)</f>
        <v>42.370200000000004</v>
      </c>
      <c r="O7" s="168"/>
      <c r="P7" s="168"/>
      <c r="Q7" s="167">
        <f>HIPERTENSO!V23+HIPERTENSO!V24+HIPERTENSO!Y23+HIPERTENSO!Y24</f>
        <v>200.43367500000002</v>
      </c>
      <c r="R7" s="167">
        <f>HIPERTENSO!S23+HIPERTENSO!S24</f>
        <v>120</v>
      </c>
      <c r="S7" s="168"/>
      <c r="T7" s="127"/>
      <c r="U7" s="169">
        <f>IDOSO!K22</f>
        <v>130</v>
      </c>
      <c r="X7" s="169">
        <f>MULHER!U15</f>
        <v>302.36400000000003</v>
      </c>
      <c r="Y7" s="169">
        <f>MULHER!U11</f>
        <v>146.5</v>
      </c>
      <c r="AA7" s="47"/>
    </row>
    <row r="8" spans="1:30" s="158" customFormat="1" ht="9.75" customHeight="1" x14ac:dyDescent="0.2">
      <c r="B8" s="166"/>
      <c r="C8" s="161"/>
      <c r="E8" s="159"/>
      <c r="F8" s="166"/>
      <c r="G8" s="166"/>
      <c r="H8" s="166"/>
      <c r="I8" s="166"/>
      <c r="J8" s="166"/>
      <c r="K8" s="166"/>
      <c r="L8" s="166"/>
      <c r="M8" s="171"/>
      <c r="N8" s="166"/>
      <c r="O8" s="166"/>
      <c r="P8" s="161"/>
      <c r="Q8" s="161"/>
      <c r="R8" s="161"/>
      <c r="S8" s="166"/>
      <c r="T8" s="127"/>
      <c r="U8" s="166"/>
      <c r="V8" s="166"/>
      <c r="W8" s="166"/>
      <c r="X8" s="166"/>
      <c r="Y8" s="166"/>
      <c r="Z8" s="166"/>
    </row>
    <row r="9" spans="1:30" s="47" customFormat="1" ht="24.75" customHeight="1" x14ac:dyDescent="0.2">
      <c r="B9" s="128" t="s">
        <v>529</v>
      </c>
      <c r="C9" s="161"/>
      <c r="E9" s="185"/>
      <c r="F9" s="893"/>
      <c r="G9" s="893"/>
      <c r="H9" s="76"/>
      <c r="I9" s="76"/>
      <c r="J9" s="893">
        <f>J7*CRIANÇA!X72</f>
        <v>48.763499999999993</v>
      </c>
      <c r="K9" s="893"/>
      <c r="L9" s="76"/>
      <c r="M9" s="186"/>
      <c r="N9" s="128"/>
      <c r="O9" s="176">
        <f t="shared" ref="O9:O18" si="0">SUM(M9:N9)</f>
        <v>0</v>
      </c>
      <c r="P9" s="161"/>
      <c r="Q9" s="165"/>
      <c r="R9" s="165"/>
      <c r="S9" s="176">
        <f>SUM(Q9:R9)</f>
        <v>0</v>
      </c>
      <c r="T9" s="127"/>
      <c r="U9" s="893"/>
      <c r="V9" s="893"/>
      <c r="W9" s="76"/>
      <c r="X9" s="893"/>
      <c r="Y9" s="893"/>
      <c r="Z9" s="76"/>
      <c r="AA9" s="172">
        <f t="shared" ref="AA9:AA17" si="1">(F9+J9+O9+S9+U9+X9)</f>
        <v>48.763499999999993</v>
      </c>
    </row>
    <row r="10" spans="1:30" s="47" customFormat="1" ht="24.75" customHeight="1" x14ac:dyDescent="0.2">
      <c r="B10" s="128" t="s">
        <v>74</v>
      </c>
      <c r="C10" s="177"/>
      <c r="E10" s="185"/>
      <c r="F10" s="1401">
        <f>GESTANTE!X51*'Ap.Diag.'!F7</f>
        <v>180</v>
      </c>
      <c r="G10" s="1401"/>
      <c r="H10" s="168"/>
      <c r="I10" s="178" t="e">
        <f>#REF!</f>
        <v>#REF!</v>
      </c>
      <c r="J10" s="1409"/>
      <c r="K10" s="1409"/>
      <c r="L10" s="179"/>
      <c r="M10" s="180"/>
      <c r="N10" s="180"/>
      <c r="O10" s="176">
        <f t="shared" si="0"/>
        <v>0</v>
      </c>
      <c r="P10" s="168"/>
      <c r="Q10" s="180"/>
      <c r="R10" s="180"/>
      <c r="S10" s="176">
        <f>SUM(Q10:R10)</f>
        <v>0</v>
      </c>
      <c r="T10" s="127"/>
      <c r="U10" s="1401">
        <f>'Ap.Diag.'!U7*IDOSO!X59</f>
        <v>130</v>
      </c>
      <c r="V10" s="1401"/>
      <c r="W10" s="179"/>
      <c r="X10" s="1401"/>
      <c r="Y10" s="1401"/>
      <c r="Z10" s="179"/>
      <c r="AA10" s="172">
        <f t="shared" si="1"/>
        <v>310</v>
      </c>
    </row>
    <row r="11" spans="1:30" s="47" customFormat="1" ht="24.75" customHeight="1" x14ac:dyDescent="0.2">
      <c r="B11" s="128" t="s">
        <v>76</v>
      </c>
      <c r="C11" s="181"/>
      <c r="E11" s="185"/>
      <c r="F11" s="1401">
        <f>F7*GESTANTE!X52</f>
        <v>60</v>
      </c>
      <c r="G11" s="1401"/>
      <c r="H11" s="168"/>
      <c r="I11" s="182" t="e">
        <f>#REF!</f>
        <v>#REF!</v>
      </c>
      <c r="J11" s="1409"/>
      <c r="K11" s="1409"/>
      <c r="L11" s="179"/>
      <c r="M11" s="180"/>
      <c r="N11" s="180"/>
      <c r="O11" s="176">
        <f t="shared" si="0"/>
        <v>0</v>
      </c>
      <c r="P11" s="168"/>
      <c r="Q11" s="180"/>
      <c r="R11" s="180"/>
      <c r="S11" s="176">
        <f>SUM(Q11:R11)</f>
        <v>0</v>
      </c>
      <c r="T11" s="127"/>
      <c r="U11" s="1401"/>
      <c r="V11" s="1401"/>
      <c r="W11" s="179"/>
      <c r="X11" s="1401"/>
      <c r="Y11" s="1401"/>
      <c r="Z11" s="179"/>
      <c r="AA11" s="172">
        <f t="shared" si="1"/>
        <v>60</v>
      </c>
    </row>
    <row r="12" spans="1:30" s="47" customFormat="1" ht="24.75" customHeight="1" x14ac:dyDescent="0.2">
      <c r="B12" s="128" t="s">
        <v>77</v>
      </c>
      <c r="C12" s="181"/>
      <c r="E12" s="185"/>
      <c r="F12" s="1401">
        <f>F7*GESTANTE!X53</f>
        <v>60</v>
      </c>
      <c r="G12" s="1401"/>
      <c r="H12" s="168"/>
      <c r="I12" s="182" t="e">
        <f>#REF!</f>
        <v>#REF!</v>
      </c>
      <c r="J12" s="1409"/>
      <c r="K12" s="1409"/>
      <c r="L12" s="179"/>
      <c r="M12" s="180"/>
      <c r="N12" s="180"/>
      <c r="O12" s="176">
        <f t="shared" si="0"/>
        <v>0</v>
      </c>
      <c r="P12" s="168"/>
      <c r="Q12" s="180"/>
      <c r="R12" s="180"/>
      <c r="S12" s="176">
        <f t="shared" ref="S12:S17" si="2">SUM(Q12:R12)</f>
        <v>0</v>
      </c>
      <c r="T12" s="127"/>
      <c r="U12" s="1401"/>
      <c r="V12" s="1401"/>
      <c r="W12" s="179"/>
      <c r="X12" s="1401"/>
      <c r="Y12" s="1401"/>
      <c r="Z12" s="179"/>
      <c r="AA12" s="172">
        <f t="shared" si="1"/>
        <v>60</v>
      </c>
    </row>
    <row r="13" spans="1:30" s="47" customFormat="1" ht="24.75" customHeight="1" x14ac:dyDescent="0.2">
      <c r="B13" s="128" t="s">
        <v>78</v>
      </c>
      <c r="C13" s="181"/>
      <c r="E13" s="185"/>
      <c r="F13" s="1401">
        <f>F7*GESTANTE!X54</f>
        <v>60</v>
      </c>
      <c r="G13" s="1401"/>
      <c r="H13" s="168"/>
      <c r="I13" s="182" t="e">
        <f>#REF!</f>
        <v>#REF!</v>
      </c>
      <c r="J13" s="1409"/>
      <c r="K13" s="1409"/>
      <c r="L13" s="179"/>
      <c r="M13" s="180"/>
      <c r="N13" s="180"/>
      <c r="O13" s="176">
        <f t="shared" si="0"/>
        <v>0</v>
      </c>
      <c r="P13" s="168"/>
      <c r="Q13" s="180"/>
      <c r="R13" s="180"/>
      <c r="S13" s="176">
        <f t="shared" si="2"/>
        <v>0</v>
      </c>
      <c r="T13" s="127"/>
      <c r="U13" s="1401"/>
      <c r="V13" s="1401"/>
      <c r="W13" s="179"/>
      <c r="X13" s="1401"/>
      <c r="Y13" s="1401"/>
      <c r="Z13" s="179"/>
      <c r="AA13" s="172">
        <f t="shared" si="1"/>
        <v>60</v>
      </c>
    </row>
    <row r="14" spans="1:30" s="47" customFormat="1" ht="24.75" customHeight="1" x14ac:dyDescent="0.2">
      <c r="B14" s="128" t="s">
        <v>79</v>
      </c>
      <c r="C14" s="181"/>
      <c r="E14" s="185"/>
      <c r="F14" s="1401">
        <f>F7*GESTANTE!X55</f>
        <v>60</v>
      </c>
      <c r="G14" s="1401"/>
      <c r="H14" s="168"/>
      <c r="I14" s="182" t="e">
        <f>#REF!</f>
        <v>#REF!</v>
      </c>
      <c r="J14" s="1409"/>
      <c r="K14" s="1409"/>
      <c r="L14" s="179"/>
      <c r="M14" s="180"/>
      <c r="N14" s="180"/>
      <c r="O14" s="176">
        <f t="shared" si="0"/>
        <v>0</v>
      </c>
      <c r="P14" s="168"/>
      <c r="Q14" s="180"/>
      <c r="R14" s="180"/>
      <c r="S14" s="176">
        <f t="shared" si="2"/>
        <v>0</v>
      </c>
      <c r="T14" s="127"/>
      <c r="U14" s="1401"/>
      <c r="V14" s="1401"/>
      <c r="W14" s="179"/>
      <c r="X14" s="1401"/>
      <c r="Y14" s="1401"/>
      <c r="Z14" s="179"/>
      <c r="AA14" s="172">
        <f t="shared" si="1"/>
        <v>60</v>
      </c>
    </row>
    <row r="15" spans="1:30" s="47" customFormat="1" ht="24.75" customHeight="1" x14ac:dyDescent="0.2">
      <c r="B15" s="128" t="s">
        <v>370</v>
      </c>
      <c r="C15" s="181">
        <v>6</v>
      </c>
      <c r="E15" s="185"/>
      <c r="F15" s="1401"/>
      <c r="G15" s="1401"/>
      <c r="H15" s="168"/>
      <c r="I15" s="182" t="e">
        <f>#REF!</f>
        <v>#REF!</v>
      </c>
      <c r="J15" s="1409"/>
      <c r="K15" s="1409"/>
      <c r="L15" s="179"/>
      <c r="M15" s="180">
        <f>M7*DIABÉTICO!X63</f>
        <v>185.56650000000002</v>
      </c>
      <c r="N15" s="180">
        <f>N7*DIABÉTICO!X64</f>
        <v>254.22120000000001</v>
      </c>
      <c r="O15" s="176">
        <f t="shared" si="0"/>
        <v>439.78770000000003</v>
      </c>
      <c r="P15" s="168"/>
      <c r="Q15" s="180"/>
      <c r="R15" s="180"/>
      <c r="S15" s="176">
        <f t="shared" si="2"/>
        <v>0</v>
      </c>
      <c r="T15" s="127"/>
      <c r="U15" s="1401"/>
      <c r="V15" s="1401"/>
      <c r="W15" s="179"/>
      <c r="X15" s="1401"/>
      <c r="Y15" s="1401"/>
      <c r="Z15" s="179"/>
      <c r="AA15" s="172">
        <f t="shared" si="1"/>
        <v>439.78770000000003</v>
      </c>
    </row>
    <row r="16" spans="1:30" s="47" customFormat="1" ht="24.75" customHeight="1" x14ac:dyDescent="0.2">
      <c r="B16" s="128" t="s">
        <v>80</v>
      </c>
      <c r="C16" s="181">
        <v>4</v>
      </c>
      <c r="E16" s="185"/>
      <c r="F16" s="1401">
        <f>F7*GESTANTE!X56</f>
        <v>120</v>
      </c>
      <c r="G16" s="1401"/>
      <c r="H16" s="168"/>
      <c r="I16" s="182" t="e">
        <f>#REF!</f>
        <v>#REF!</v>
      </c>
      <c r="J16" s="1409"/>
      <c r="K16" s="1409"/>
      <c r="L16" s="179"/>
      <c r="M16" s="180">
        <f>M7*DIABÉTICO!X65*DIABÉTICO!S17</f>
        <v>61.855500000000006</v>
      </c>
      <c r="N16" s="180">
        <f>N7*DIABÉTICO!X66*DIABÉTICO!S17</f>
        <v>84.740400000000008</v>
      </c>
      <c r="O16" s="176">
        <f t="shared" si="0"/>
        <v>146.59590000000003</v>
      </c>
      <c r="P16" s="168"/>
      <c r="Q16" s="180">
        <f>Q7*HIPERTENSO!X64</f>
        <v>200.43367500000002</v>
      </c>
      <c r="R16" s="180">
        <f>R7*HIPERTENSO!X65</f>
        <v>240</v>
      </c>
      <c r="S16" s="176">
        <f t="shared" si="2"/>
        <v>440.43367499999999</v>
      </c>
      <c r="T16" s="127"/>
      <c r="U16" s="1401"/>
      <c r="V16" s="1401"/>
      <c r="W16" s="179"/>
      <c r="X16" s="1401"/>
      <c r="Y16" s="1401"/>
      <c r="Z16" s="179"/>
      <c r="AA16" s="172">
        <f t="shared" si="1"/>
        <v>707.02957500000002</v>
      </c>
    </row>
    <row r="17" spans="2:27" s="47" customFormat="1" ht="24.75" customHeight="1" x14ac:dyDescent="0.2">
      <c r="B17" s="128" t="s">
        <v>81</v>
      </c>
      <c r="C17" s="181">
        <v>4</v>
      </c>
      <c r="E17" s="185"/>
      <c r="F17" s="1401"/>
      <c r="G17" s="1401"/>
      <c r="H17" s="168"/>
      <c r="I17" s="182" t="e">
        <f>#REF!</f>
        <v>#REF!</v>
      </c>
      <c r="J17" s="1409"/>
      <c r="K17" s="1409"/>
      <c r="L17" s="179"/>
      <c r="M17" s="180">
        <f>M7*DIABÉTICO!X67</f>
        <v>123.71100000000001</v>
      </c>
      <c r="N17" s="180">
        <f>N7*DIABÉTICO!X68</f>
        <v>169.48080000000002</v>
      </c>
      <c r="O17" s="176">
        <f t="shared" si="0"/>
        <v>293.19180000000006</v>
      </c>
      <c r="P17" s="168"/>
      <c r="Q17" s="180"/>
      <c r="R17" s="180"/>
      <c r="S17" s="176">
        <f t="shared" si="2"/>
        <v>0</v>
      </c>
      <c r="T17" s="127"/>
      <c r="U17" s="1401"/>
      <c r="V17" s="1401"/>
      <c r="W17" s="179"/>
      <c r="X17" s="1401"/>
      <c r="Y17" s="1401"/>
      <c r="Z17" s="179"/>
      <c r="AA17" s="172">
        <f t="shared" si="1"/>
        <v>293.19180000000006</v>
      </c>
    </row>
    <row r="18" spans="2:27" s="47" customFormat="1" ht="9.75" customHeight="1" x14ac:dyDescent="0.2">
      <c r="B18" s="893" t="s">
        <v>173</v>
      </c>
      <c r="C18" s="1412" t="e">
        <f>#REF!</f>
        <v>#REF!</v>
      </c>
      <c r="E18" s="185"/>
      <c r="F18" s="1401">
        <f>F7*GESTANTE!X57</f>
        <v>60</v>
      </c>
      <c r="G18" s="1401"/>
      <c r="H18" s="168"/>
      <c r="I18" s="1403" t="e">
        <f>#REF!</f>
        <v>#REF!</v>
      </c>
      <c r="J18" s="1416"/>
      <c r="K18" s="1417"/>
      <c r="L18" s="179"/>
      <c r="M18" s="1401">
        <f>M7*DIABÉTICO!X69</f>
        <v>61.855500000000006</v>
      </c>
      <c r="N18" s="1401">
        <f>N7*DIABÉTICO!X69</f>
        <v>42.370200000000004</v>
      </c>
      <c r="O18" s="1405">
        <f t="shared" si="0"/>
        <v>104.22570000000002</v>
      </c>
      <c r="P18" s="168"/>
      <c r="Q18" s="1401"/>
      <c r="R18" s="1401"/>
      <c r="S18" s="1405">
        <f>SUM(Q18:R18)</f>
        <v>0</v>
      </c>
      <c r="T18" s="127"/>
      <c r="U18" s="1401"/>
      <c r="V18" s="1401"/>
      <c r="W18" s="179"/>
      <c r="X18" s="1401"/>
      <c r="Y18" s="1401"/>
      <c r="Z18" s="179"/>
      <c r="AA18" s="892">
        <f>SUM(F18,J18,O18,S18,U18,X18)</f>
        <v>164.22570000000002</v>
      </c>
    </row>
    <row r="19" spans="2:27" s="47" customFormat="1" ht="14.85" customHeight="1" x14ac:dyDescent="0.2">
      <c r="B19" s="893"/>
      <c r="C19" s="1413"/>
      <c r="E19" s="185"/>
      <c r="F19" s="1401"/>
      <c r="G19" s="1401"/>
      <c r="H19" s="168"/>
      <c r="I19" s="1404"/>
      <c r="J19" s="1418"/>
      <c r="K19" s="1419"/>
      <c r="L19" s="179"/>
      <c r="M19" s="1401"/>
      <c r="N19" s="1401"/>
      <c r="O19" s="1405"/>
      <c r="P19" s="168"/>
      <c r="Q19" s="1401"/>
      <c r="R19" s="1401"/>
      <c r="S19" s="1405"/>
      <c r="T19" s="127"/>
      <c r="U19" s="1401"/>
      <c r="V19" s="1401"/>
      <c r="W19" s="179"/>
      <c r="X19" s="1401"/>
      <c r="Y19" s="1401"/>
      <c r="Z19" s="179"/>
      <c r="AA19" s="892"/>
    </row>
    <row r="20" spans="2:27" s="47" customFormat="1" ht="24.75" customHeight="1" x14ac:dyDescent="0.2">
      <c r="B20" s="128" t="s">
        <v>75</v>
      </c>
      <c r="C20" s="181">
        <v>4</v>
      </c>
      <c r="E20" s="185"/>
      <c r="F20" s="1401"/>
      <c r="G20" s="1401"/>
      <c r="H20" s="168"/>
      <c r="I20" s="182" t="e">
        <f>#REF!</f>
        <v>#REF!</v>
      </c>
      <c r="J20" s="1409"/>
      <c r="K20" s="1409"/>
      <c r="L20" s="179"/>
      <c r="M20" s="180">
        <f>M7*DIABÉTICO!X70</f>
        <v>123.71100000000001</v>
      </c>
      <c r="N20" s="180">
        <f>N7*DIABÉTICO!X71</f>
        <v>169.48080000000002</v>
      </c>
      <c r="O20" s="176">
        <f>SUM(M20:N20)</f>
        <v>293.19180000000006</v>
      </c>
      <c r="P20" s="168"/>
      <c r="Q20" s="180"/>
      <c r="R20" s="180"/>
      <c r="S20" s="176">
        <f>SUM(Q20:R20)</f>
        <v>0</v>
      </c>
      <c r="T20" s="127"/>
      <c r="U20" s="1407"/>
      <c r="V20" s="1408"/>
      <c r="W20" s="179"/>
      <c r="X20" s="1401"/>
      <c r="Y20" s="1401"/>
      <c r="Z20" s="179"/>
      <c r="AA20" s="110">
        <f t="shared" ref="AA20:AA49" si="3">F20+J20+O20+S20+U20+X20</f>
        <v>293.19180000000006</v>
      </c>
    </row>
    <row r="21" spans="2:27" s="47" customFormat="1" ht="24.75" customHeight="1" x14ac:dyDescent="0.2">
      <c r="B21" s="128" t="s">
        <v>68</v>
      </c>
      <c r="C21" s="181">
        <v>2</v>
      </c>
      <c r="E21" s="185"/>
      <c r="F21" s="1401"/>
      <c r="G21" s="1401"/>
      <c r="H21" s="168"/>
      <c r="I21" s="182" t="e">
        <f>#REF!</f>
        <v>#REF!</v>
      </c>
      <c r="J21" s="1409"/>
      <c r="K21" s="1409"/>
      <c r="L21" s="179"/>
      <c r="M21" s="180">
        <f>M7*DIABÉTICO!X72*DIABÉTICO!S17</f>
        <v>30.927750000000003</v>
      </c>
      <c r="N21" s="180">
        <f>N7*DIABÉTICO!X73*DIABÉTICO!S17</f>
        <v>42.370200000000004</v>
      </c>
      <c r="O21" s="176">
        <f t="shared" ref="O21:O37" si="4">SUM(M21:N21)</f>
        <v>73.297950000000014</v>
      </c>
      <c r="P21" s="168"/>
      <c r="Q21" s="180">
        <f>Q7*HIPERTENSO!X66</f>
        <v>200.43367500000002</v>
      </c>
      <c r="R21" s="180">
        <f>R7*HIPERTENSO!X67</f>
        <v>240</v>
      </c>
      <c r="S21" s="176">
        <f t="shared" ref="S21:S44" si="5">SUM(Q21:R21)</f>
        <v>440.43367499999999</v>
      </c>
      <c r="T21" s="127"/>
      <c r="U21" s="1401">
        <f>(U7*IDOSO!X58) -((HIPERTENSO!AB24+DIABÉTICO!AA24)*IDOSO!X58)</f>
        <v>28.480099999999993</v>
      </c>
      <c r="V21" s="1401"/>
      <c r="W21" s="179"/>
      <c r="X21" s="1401"/>
      <c r="Y21" s="1401"/>
      <c r="Z21" s="179"/>
      <c r="AA21" s="110">
        <f t="shared" si="3"/>
        <v>542.211725</v>
      </c>
    </row>
    <row r="22" spans="2:27" s="47" customFormat="1" ht="24.75" customHeight="1" x14ac:dyDescent="0.2">
      <c r="B22" s="128" t="s">
        <v>104</v>
      </c>
      <c r="C22" s="181"/>
      <c r="E22" s="185"/>
      <c r="F22" s="1401"/>
      <c r="G22" s="1401"/>
      <c r="H22" s="168"/>
      <c r="I22" s="182" t="e">
        <f>#REF!</f>
        <v>#REF!</v>
      </c>
      <c r="J22" s="1409"/>
      <c r="K22" s="1409"/>
      <c r="L22" s="179"/>
      <c r="M22" s="180"/>
      <c r="N22" s="180"/>
      <c r="O22" s="176">
        <f t="shared" si="4"/>
        <v>0</v>
      </c>
      <c r="P22" s="168"/>
      <c r="Q22" s="180">
        <f>Q7*HIPERTENSO!X70</f>
        <v>200.43367500000002</v>
      </c>
      <c r="R22" s="180">
        <f>R7*HIPERTENSO!X70</f>
        <v>120</v>
      </c>
      <c r="S22" s="176">
        <f t="shared" si="5"/>
        <v>320.43367499999999</v>
      </c>
      <c r="T22" s="127"/>
      <c r="U22" s="1401"/>
      <c r="V22" s="1401"/>
      <c r="W22" s="179"/>
      <c r="X22" s="1401"/>
      <c r="Y22" s="1401"/>
      <c r="Z22" s="179"/>
      <c r="AA22" s="110">
        <f t="shared" si="3"/>
        <v>320.43367499999999</v>
      </c>
    </row>
    <row r="23" spans="2:27" s="47" customFormat="1" ht="24.75" customHeight="1" x14ac:dyDescent="0.2">
      <c r="B23" s="128" t="s">
        <v>69</v>
      </c>
      <c r="C23" s="181"/>
      <c r="E23" s="185"/>
      <c r="F23" s="1401"/>
      <c r="G23" s="1401"/>
      <c r="H23" s="168"/>
      <c r="I23" s="182" t="e">
        <f>#REF!</f>
        <v>#REF!</v>
      </c>
      <c r="J23" s="1409"/>
      <c r="K23" s="1409"/>
      <c r="L23" s="179"/>
      <c r="M23" s="180"/>
      <c r="N23" s="180"/>
      <c r="O23" s="176">
        <f t="shared" si="4"/>
        <v>0</v>
      </c>
      <c r="P23" s="168"/>
      <c r="Q23" s="180">
        <f>Q7*HIPERTENSO!X68</f>
        <v>200.43367500000002</v>
      </c>
      <c r="R23" s="180">
        <f>R7*HIPERTENSO!X69</f>
        <v>240</v>
      </c>
      <c r="S23" s="176">
        <f t="shared" si="5"/>
        <v>440.43367499999999</v>
      </c>
      <c r="T23" s="127"/>
      <c r="U23" s="1401"/>
      <c r="V23" s="1401"/>
      <c r="W23" s="179"/>
      <c r="X23" s="1401"/>
      <c r="Y23" s="1401"/>
      <c r="Z23" s="179"/>
      <c r="AA23" s="110">
        <f t="shared" si="3"/>
        <v>440.43367499999999</v>
      </c>
    </row>
    <row r="24" spans="2:27" s="47" customFormat="1" ht="24.75" customHeight="1" x14ac:dyDescent="0.2">
      <c r="B24" s="128" t="s">
        <v>105</v>
      </c>
      <c r="C24" s="181"/>
      <c r="E24" s="185"/>
      <c r="F24" s="1401"/>
      <c r="G24" s="1401"/>
      <c r="H24" s="168"/>
      <c r="I24" s="182" t="e">
        <f>#REF!</f>
        <v>#REF!</v>
      </c>
      <c r="J24" s="1409"/>
      <c r="K24" s="1409"/>
      <c r="L24" s="179"/>
      <c r="M24" s="180"/>
      <c r="N24" s="180"/>
      <c r="O24" s="176">
        <f t="shared" si="4"/>
        <v>0</v>
      </c>
      <c r="P24" s="168"/>
      <c r="Q24" s="180">
        <f>Q7*HIPERTENSO!X71</f>
        <v>200.43367500000002</v>
      </c>
      <c r="R24" s="180">
        <f>R7*HIPERTENSO!X72</f>
        <v>240</v>
      </c>
      <c r="S24" s="176">
        <f t="shared" si="5"/>
        <v>440.43367499999999</v>
      </c>
      <c r="T24" s="127"/>
      <c r="U24" s="1401"/>
      <c r="V24" s="1401"/>
      <c r="W24" s="179"/>
      <c r="X24" s="1401"/>
      <c r="Y24" s="1401"/>
      <c r="Z24" s="179"/>
      <c r="AA24" s="110">
        <f t="shared" si="3"/>
        <v>440.43367499999999</v>
      </c>
    </row>
    <row r="25" spans="2:27" s="47" customFormat="1" ht="24.75" customHeight="1" x14ac:dyDescent="0.2">
      <c r="B25" s="128" t="s">
        <v>70</v>
      </c>
      <c r="C25" s="181">
        <v>2</v>
      </c>
      <c r="E25" s="185"/>
      <c r="F25" s="1401"/>
      <c r="G25" s="1401"/>
      <c r="H25" s="168"/>
      <c r="I25" s="182" t="e">
        <f>#REF!</f>
        <v>#REF!</v>
      </c>
      <c r="J25" s="1409"/>
      <c r="K25" s="1409"/>
      <c r="L25" s="179"/>
      <c r="M25" s="180">
        <f>M7*DIABÉTICO!X74*DIABÉTICO!S17</f>
        <v>30.927750000000003</v>
      </c>
      <c r="N25" s="180">
        <f>N7*DIABÉTICO!X75*DIABÉTICO!S17</f>
        <v>42.370200000000004</v>
      </c>
      <c r="O25" s="176">
        <f t="shared" si="4"/>
        <v>73.297950000000014</v>
      </c>
      <c r="P25" s="168"/>
      <c r="Q25" s="180">
        <f>Q7*HIPERTENSO!X73</f>
        <v>200.43367500000002</v>
      </c>
      <c r="R25" s="180">
        <f>R7*HIPERTENSO!X74</f>
        <v>240</v>
      </c>
      <c r="S25" s="176">
        <f t="shared" si="5"/>
        <v>440.43367499999999</v>
      </c>
      <c r="T25" s="127"/>
      <c r="U25" s="1401">
        <f>(U7*IDOSO!X60)-((HIPERTENSO!AB24+DIABÉTICO!AA24)*IDOSO!X60)</f>
        <v>28.480099999999993</v>
      </c>
      <c r="V25" s="1401"/>
      <c r="W25" s="179"/>
      <c r="X25" s="1401"/>
      <c r="Y25" s="1401"/>
      <c r="Z25" s="179"/>
      <c r="AA25" s="110">
        <f t="shared" si="3"/>
        <v>542.211725</v>
      </c>
    </row>
    <row r="26" spans="2:27" s="47" customFormat="1" ht="24.75" customHeight="1" x14ac:dyDescent="0.2">
      <c r="B26" s="128" t="s">
        <v>71</v>
      </c>
      <c r="C26" s="181">
        <v>2</v>
      </c>
      <c r="E26" s="185"/>
      <c r="F26" s="1401"/>
      <c r="G26" s="1401"/>
      <c r="H26" s="168"/>
      <c r="I26" s="182" t="e">
        <f>#REF!</f>
        <v>#REF!</v>
      </c>
      <c r="J26" s="1409"/>
      <c r="K26" s="1409"/>
      <c r="L26" s="179"/>
      <c r="M26" s="180">
        <f>M7*DIABÉTICO!X76*DIABÉTICO!S17</f>
        <v>30.927750000000003</v>
      </c>
      <c r="N26" s="180">
        <f>N7*DIABÉTICO!X77*DIABÉTICO!S17</f>
        <v>42.370200000000004</v>
      </c>
      <c r="O26" s="176">
        <f t="shared" si="4"/>
        <v>73.297950000000014</v>
      </c>
      <c r="P26" s="168"/>
      <c r="Q26" s="180">
        <f>Q7*HIPERTENSO!X75</f>
        <v>200.43367500000002</v>
      </c>
      <c r="R26" s="180">
        <f>R7*HIPERTENSO!X74</f>
        <v>240</v>
      </c>
      <c r="S26" s="176">
        <f t="shared" si="5"/>
        <v>440.43367499999999</v>
      </c>
      <c r="T26" s="127"/>
      <c r="U26" s="1407">
        <f>(U7*IDOSO!X61)-((HIPERTENSO!AB24+DIABÉTICO!AA24)*IDOSO!X61)</f>
        <v>28.480099999999993</v>
      </c>
      <c r="V26" s="1408"/>
      <c r="W26" s="179"/>
      <c r="X26" s="1407"/>
      <c r="Y26" s="1408"/>
      <c r="Z26" s="179"/>
      <c r="AA26" s="110">
        <f t="shared" si="3"/>
        <v>542.211725</v>
      </c>
    </row>
    <row r="27" spans="2:27" s="47" customFormat="1" ht="24.75" customHeight="1" x14ac:dyDescent="0.2">
      <c r="B27" s="128" t="s">
        <v>72</v>
      </c>
      <c r="C27" s="181">
        <v>2</v>
      </c>
      <c r="E27" s="185"/>
      <c r="F27" s="1401"/>
      <c r="G27" s="1401"/>
      <c r="H27" s="168"/>
      <c r="I27" s="182" t="e">
        <f>#REF!</f>
        <v>#REF!</v>
      </c>
      <c r="J27" s="1409"/>
      <c r="K27" s="1409"/>
      <c r="L27" s="179"/>
      <c r="M27" s="180">
        <f>M7*DIABÉTICO!X78*DIABÉTICO!S17</f>
        <v>30.927750000000003</v>
      </c>
      <c r="N27" s="180">
        <f>N7*DIABÉTICO!X79*DIABÉTICO!S17</f>
        <v>42.370200000000004</v>
      </c>
      <c r="O27" s="176">
        <f t="shared" si="4"/>
        <v>73.297950000000014</v>
      </c>
      <c r="P27" s="168"/>
      <c r="Q27" s="180">
        <f>Q7*HIPERTENSO!X77</f>
        <v>200.43367500000002</v>
      </c>
      <c r="R27" s="180">
        <f>R7*HIPERTENSO!X78</f>
        <v>240</v>
      </c>
      <c r="S27" s="176">
        <f t="shared" si="5"/>
        <v>440.43367499999999</v>
      </c>
      <c r="T27" s="127"/>
      <c r="U27" s="1401"/>
      <c r="V27" s="1401"/>
      <c r="W27" s="179"/>
      <c r="X27" s="1401"/>
      <c r="Y27" s="1401"/>
      <c r="Z27" s="179"/>
      <c r="AA27" s="110">
        <f t="shared" si="3"/>
        <v>513.73162500000001</v>
      </c>
    </row>
    <row r="28" spans="2:27" s="47" customFormat="1" ht="24.75" customHeight="1" x14ac:dyDescent="0.2">
      <c r="B28" s="128" t="s">
        <v>106</v>
      </c>
      <c r="C28" s="181">
        <v>1</v>
      </c>
      <c r="E28" s="185"/>
      <c r="F28" s="1401"/>
      <c r="G28" s="1401"/>
      <c r="H28" s="168"/>
      <c r="I28" s="182" t="e">
        <f>#REF!</f>
        <v>#REF!</v>
      </c>
      <c r="J28" s="1409"/>
      <c r="K28" s="1409"/>
      <c r="L28" s="179"/>
      <c r="M28" s="180">
        <f>M7*DIABÉTICO!X80</f>
        <v>61.855500000000006</v>
      </c>
      <c r="N28" s="180">
        <f>N7*DIABÉTICO!X80</f>
        <v>42.370200000000004</v>
      </c>
      <c r="O28" s="176">
        <f t="shared" si="4"/>
        <v>104.22570000000002</v>
      </c>
      <c r="P28" s="168"/>
      <c r="Q28" s="180"/>
      <c r="R28" s="180"/>
      <c r="S28" s="176">
        <f t="shared" si="5"/>
        <v>0</v>
      </c>
      <c r="T28" s="127"/>
      <c r="U28" s="1401"/>
      <c r="V28" s="1401"/>
      <c r="W28" s="179"/>
      <c r="X28" s="1401"/>
      <c r="Y28" s="1401"/>
      <c r="Z28" s="179"/>
      <c r="AA28" s="110">
        <f t="shared" si="3"/>
        <v>104.22570000000002</v>
      </c>
    </row>
    <row r="29" spans="2:27" s="47" customFormat="1" ht="24.75" customHeight="1" x14ac:dyDescent="0.2">
      <c r="B29" s="128" t="s">
        <v>94</v>
      </c>
      <c r="C29" s="181">
        <v>1</v>
      </c>
      <c r="E29" s="185"/>
      <c r="F29" s="1401"/>
      <c r="G29" s="1401"/>
      <c r="H29" s="168"/>
      <c r="I29" s="182" t="e">
        <f>#REF!</f>
        <v>#REF!</v>
      </c>
      <c r="J29" s="1409"/>
      <c r="K29" s="1409"/>
      <c r="L29" s="179"/>
      <c r="M29" s="180">
        <f>M7*DIABÉTICO!X81</f>
        <v>61.855500000000006</v>
      </c>
      <c r="N29" s="180">
        <f>N7*DIABÉTICO!X81</f>
        <v>42.370200000000004</v>
      </c>
      <c r="O29" s="176">
        <f t="shared" si="4"/>
        <v>104.22570000000002</v>
      </c>
      <c r="P29" s="168"/>
      <c r="Q29" s="180"/>
      <c r="R29" s="180"/>
      <c r="S29" s="176">
        <f t="shared" si="5"/>
        <v>0</v>
      </c>
      <c r="T29" s="127"/>
      <c r="U29" s="1401"/>
      <c r="V29" s="1401"/>
      <c r="W29" s="179"/>
      <c r="X29" s="1401"/>
      <c r="Y29" s="1401"/>
      <c r="Z29" s="179"/>
      <c r="AA29" s="110">
        <f t="shared" si="3"/>
        <v>104.22570000000002</v>
      </c>
    </row>
    <row r="30" spans="2:27" s="47" customFormat="1" ht="24.75" customHeight="1" x14ac:dyDescent="0.2">
      <c r="B30" s="128" t="s">
        <v>95</v>
      </c>
      <c r="C30" s="181">
        <v>1</v>
      </c>
      <c r="E30" s="185"/>
      <c r="F30" s="1401"/>
      <c r="G30" s="1401"/>
      <c r="H30" s="168"/>
      <c r="I30" s="182" t="e">
        <f>#REF!</f>
        <v>#REF!</v>
      </c>
      <c r="J30" s="1409"/>
      <c r="K30" s="1409"/>
      <c r="L30" s="179"/>
      <c r="M30" s="180">
        <f>M7*DIABÉTICO!X82</f>
        <v>61.855500000000006</v>
      </c>
      <c r="N30" s="180">
        <f>N7*DIABÉTICO!X82</f>
        <v>42.370200000000004</v>
      </c>
      <c r="O30" s="176">
        <f t="shared" si="4"/>
        <v>104.22570000000002</v>
      </c>
      <c r="P30" s="168"/>
      <c r="Q30" s="180"/>
      <c r="R30" s="180"/>
      <c r="S30" s="176">
        <f t="shared" si="5"/>
        <v>0</v>
      </c>
      <c r="T30" s="127"/>
      <c r="U30" s="1401"/>
      <c r="V30" s="1401"/>
      <c r="W30" s="179"/>
      <c r="X30" s="1401"/>
      <c r="Y30" s="1401"/>
      <c r="Z30" s="179"/>
      <c r="AA30" s="110">
        <f t="shared" si="3"/>
        <v>104.22570000000002</v>
      </c>
    </row>
    <row r="31" spans="2:27" s="47" customFormat="1" ht="24.75" customHeight="1" x14ac:dyDescent="0.2">
      <c r="B31" s="128" t="s">
        <v>93</v>
      </c>
      <c r="C31" s="181">
        <v>1</v>
      </c>
      <c r="E31" s="185"/>
      <c r="F31" s="1401"/>
      <c r="G31" s="1401"/>
      <c r="H31" s="168"/>
      <c r="I31" s="182" t="e">
        <f>#REF!</f>
        <v>#REF!</v>
      </c>
      <c r="J31" s="1409"/>
      <c r="K31" s="1409"/>
      <c r="L31" s="179"/>
      <c r="M31" s="180">
        <f>M7*DIABÉTICO!X83</f>
        <v>61.855500000000006</v>
      </c>
      <c r="N31" s="180">
        <f>N7*DIABÉTICO!X83</f>
        <v>42.370200000000004</v>
      </c>
      <c r="O31" s="176">
        <f t="shared" si="4"/>
        <v>104.22570000000002</v>
      </c>
      <c r="P31" s="168"/>
      <c r="Q31" s="180"/>
      <c r="R31" s="180"/>
      <c r="S31" s="176">
        <f t="shared" si="5"/>
        <v>0</v>
      </c>
      <c r="T31" s="127"/>
      <c r="U31" s="1401"/>
      <c r="V31" s="1401"/>
      <c r="W31" s="179"/>
      <c r="X31" s="1401"/>
      <c r="Y31" s="1401"/>
      <c r="Z31" s="179"/>
      <c r="AA31" s="110">
        <f t="shared" si="3"/>
        <v>104.22570000000002</v>
      </c>
    </row>
    <row r="32" spans="2:27" s="47" customFormat="1" ht="24.75" customHeight="1" x14ac:dyDescent="0.2">
      <c r="B32" s="128" t="s">
        <v>103</v>
      </c>
      <c r="C32" s="181">
        <v>2</v>
      </c>
      <c r="E32" s="185"/>
      <c r="F32" s="1401"/>
      <c r="G32" s="1401"/>
      <c r="H32" s="168"/>
      <c r="I32" s="182" t="e">
        <f>#REF!</f>
        <v>#REF!</v>
      </c>
      <c r="J32" s="1409"/>
      <c r="K32" s="1409"/>
      <c r="L32" s="179"/>
      <c r="M32" s="180">
        <f>M7*DIABÉTICO!X84*DIABÉTICO!S17</f>
        <v>30.927750000000003</v>
      </c>
      <c r="N32" s="180">
        <f>M7*DIABÉTICO!X85*DIABÉTICO!S17</f>
        <v>61.855500000000006</v>
      </c>
      <c r="O32" s="176">
        <f t="shared" si="4"/>
        <v>92.78325000000001</v>
      </c>
      <c r="P32" s="168"/>
      <c r="Q32" s="180">
        <f>Q7*HIPERTENSO!X79</f>
        <v>200.43367500000002</v>
      </c>
      <c r="R32" s="180">
        <f>R7*HIPERTENSO!X79</f>
        <v>120</v>
      </c>
      <c r="S32" s="176">
        <f t="shared" si="5"/>
        <v>320.43367499999999</v>
      </c>
      <c r="T32" s="127"/>
      <c r="U32" s="1401"/>
      <c r="V32" s="1401"/>
      <c r="W32" s="179"/>
      <c r="X32" s="1401"/>
      <c r="Y32" s="1401"/>
      <c r="Z32" s="179"/>
      <c r="AA32" s="110">
        <f t="shared" si="3"/>
        <v>413.216925</v>
      </c>
    </row>
    <row r="33" spans="2:27" s="47" customFormat="1" ht="24.75" customHeight="1" x14ac:dyDescent="0.2">
      <c r="B33" s="128" t="s">
        <v>111</v>
      </c>
      <c r="C33" s="181"/>
      <c r="E33" s="185"/>
      <c r="F33" s="1401">
        <f>F7*GESTANTE!X58</f>
        <v>120</v>
      </c>
      <c r="G33" s="1401"/>
      <c r="H33" s="168"/>
      <c r="I33" s="182" t="e">
        <f>#REF!</f>
        <v>#REF!</v>
      </c>
      <c r="J33" s="1409"/>
      <c r="K33" s="1409"/>
      <c r="L33" s="179"/>
      <c r="M33" s="180"/>
      <c r="N33" s="180"/>
      <c r="O33" s="176">
        <f t="shared" si="4"/>
        <v>0</v>
      </c>
      <c r="P33" s="168"/>
      <c r="Q33" s="180"/>
      <c r="R33" s="180"/>
      <c r="S33" s="176">
        <f t="shared" si="5"/>
        <v>0</v>
      </c>
      <c r="T33" s="127"/>
      <c r="U33" s="1401"/>
      <c r="V33" s="1401"/>
      <c r="W33" s="179"/>
      <c r="X33" s="1401"/>
      <c r="Y33" s="1401"/>
      <c r="Z33" s="179"/>
      <c r="AA33" s="110">
        <f t="shared" si="3"/>
        <v>120</v>
      </c>
    </row>
    <row r="34" spans="2:27" s="47" customFormat="1" ht="24.75" customHeight="1" x14ac:dyDescent="0.2">
      <c r="B34" s="128" t="s">
        <v>535</v>
      </c>
      <c r="C34" s="181"/>
      <c r="E34" s="185"/>
      <c r="F34" s="1401">
        <f>F7*GESTANTE!X59</f>
        <v>120</v>
      </c>
      <c r="G34" s="1401"/>
      <c r="H34" s="168"/>
      <c r="I34" s="182" t="e">
        <f>#REF!</f>
        <v>#REF!</v>
      </c>
      <c r="J34" s="1409"/>
      <c r="K34" s="1409"/>
      <c r="L34" s="179"/>
      <c r="M34" s="180"/>
      <c r="N34" s="180"/>
      <c r="O34" s="176">
        <f t="shared" si="4"/>
        <v>0</v>
      </c>
      <c r="P34" s="168"/>
      <c r="Q34" s="180"/>
      <c r="R34" s="180"/>
      <c r="S34" s="176">
        <f t="shared" si="5"/>
        <v>0</v>
      </c>
      <c r="T34" s="127"/>
      <c r="U34" s="1401"/>
      <c r="V34" s="1401"/>
      <c r="W34" s="179"/>
      <c r="X34" s="1401"/>
      <c r="Y34" s="1401"/>
      <c r="Z34" s="179"/>
      <c r="AA34" s="110">
        <f t="shared" si="3"/>
        <v>120</v>
      </c>
    </row>
    <row r="35" spans="2:27" s="47" customFormat="1" ht="24.75" customHeight="1" x14ac:dyDescent="0.2">
      <c r="B35" s="128" t="s">
        <v>528</v>
      </c>
      <c r="C35" s="181"/>
      <c r="E35" s="185"/>
      <c r="F35" s="1401">
        <f>F7*GESTANTE!X60</f>
        <v>240</v>
      </c>
      <c r="G35" s="1401"/>
      <c r="H35" s="168"/>
      <c r="I35" s="182" t="e">
        <f>#REF!</f>
        <v>#REF!</v>
      </c>
      <c r="J35" s="1409"/>
      <c r="K35" s="1409"/>
      <c r="L35" s="179"/>
      <c r="M35" s="180"/>
      <c r="N35" s="180"/>
      <c r="O35" s="176">
        <f t="shared" si="4"/>
        <v>0</v>
      </c>
      <c r="P35" s="168"/>
      <c r="Q35" s="180"/>
      <c r="R35" s="180"/>
      <c r="S35" s="176">
        <f t="shared" si="5"/>
        <v>0</v>
      </c>
      <c r="T35" s="127"/>
      <c r="U35" s="1401"/>
      <c r="V35" s="1401"/>
      <c r="W35" s="179"/>
      <c r="X35" s="1401"/>
      <c r="Y35" s="1401"/>
      <c r="Z35" s="179"/>
      <c r="AA35" s="110">
        <f t="shared" si="3"/>
        <v>240</v>
      </c>
    </row>
    <row r="36" spans="2:27" s="47" customFormat="1" ht="24.75" customHeight="1" x14ac:dyDescent="0.2">
      <c r="B36" s="128" t="s">
        <v>536</v>
      </c>
      <c r="C36" s="181"/>
      <c r="E36" s="185"/>
      <c r="F36" s="1401">
        <f>F7*GESTANTE!X61</f>
        <v>120</v>
      </c>
      <c r="G36" s="1401"/>
      <c r="H36" s="168"/>
      <c r="I36" s="182" t="e">
        <f>#REF!</f>
        <v>#REF!</v>
      </c>
      <c r="J36" s="1409"/>
      <c r="K36" s="1409"/>
      <c r="L36" s="179"/>
      <c r="M36" s="180"/>
      <c r="N36" s="180"/>
      <c r="O36" s="176">
        <f t="shared" si="4"/>
        <v>0</v>
      </c>
      <c r="P36" s="168"/>
      <c r="Q36" s="180"/>
      <c r="R36" s="180"/>
      <c r="S36" s="176">
        <f t="shared" si="5"/>
        <v>0</v>
      </c>
      <c r="T36" s="127"/>
      <c r="U36" s="1401"/>
      <c r="V36" s="1401"/>
      <c r="W36" s="179"/>
      <c r="X36" s="1401"/>
      <c r="Y36" s="1401"/>
      <c r="Z36" s="179"/>
      <c r="AA36" s="110">
        <f t="shared" si="3"/>
        <v>120</v>
      </c>
    </row>
    <row r="37" spans="2:27" s="47" customFormat="1" ht="24.75" customHeight="1" x14ac:dyDescent="0.2">
      <c r="B37" s="128" t="s">
        <v>73</v>
      </c>
      <c r="C37" s="181">
        <v>2</v>
      </c>
      <c r="E37" s="185"/>
      <c r="F37" s="1401">
        <f>F7*GESTANTE!X62</f>
        <v>120</v>
      </c>
      <c r="G37" s="1401"/>
      <c r="H37" s="168"/>
      <c r="I37" s="182" t="e">
        <f>#REF!</f>
        <v>#REF!</v>
      </c>
      <c r="J37" s="1409"/>
      <c r="K37" s="1409"/>
      <c r="L37" s="179"/>
      <c r="M37" s="180">
        <f>M7*DIABÉTICO!X86*DIABÉTICO!S17</f>
        <v>30.927750000000003</v>
      </c>
      <c r="N37" s="180">
        <f>N7*DIABÉTICO!X86*DIABÉTICO!S17</f>
        <v>21.185100000000002</v>
      </c>
      <c r="O37" s="176">
        <f t="shared" si="4"/>
        <v>52.112850000000009</v>
      </c>
      <c r="P37" s="168"/>
      <c r="Q37" s="180">
        <f>Q7*HIPERTENSO!X80</f>
        <v>200.43367500000002</v>
      </c>
      <c r="R37" s="180">
        <f>R7*HIPERTENSO!X81</f>
        <v>240</v>
      </c>
      <c r="S37" s="176">
        <f t="shared" si="5"/>
        <v>440.43367499999999</v>
      </c>
      <c r="T37" s="127"/>
      <c r="U37" s="1401"/>
      <c r="V37" s="1401"/>
      <c r="W37" s="179"/>
      <c r="X37" s="1401"/>
      <c r="Y37" s="1401"/>
      <c r="Z37" s="179"/>
      <c r="AA37" s="110">
        <f t="shared" si="3"/>
        <v>612.54652499999997</v>
      </c>
    </row>
    <row r="38" spans="2:27" s="47" customFormat="1" ht="24.75" customHeight="1" x14ac:dyDescent="0.2">
      <c r="B38" s="128" t="s">
        <v>82</v>
      </c>
      <c r="C38" s="181"/>
      <c r="E38" s="185"/>
      <c r="F38" s="1401">
        <f>F7*GESTANTE!X63</f>
        <v>120</v>
      </c>
      <c r="G38" s="1401"/>
      <c r="H38" s="168"/>
      <c r="I38" s="182" t="e">
        <f>#REF!</f>
        <v>#REF!</v>
      </c>
      <c r="J38" s="1409"/>
      <c r="K38" s="1409"/>
      <c r="L38" s="179"/>
      <c r="M38" s="180"/>
      <c r="N38" s="180"/>
      <c r="O38" s="176">
        <f t="shared" ref="O38:O44" si="6">SUM(M38:N38)</f>
        <v>0</v>
      </c>
      <c r="P38" s="168"/>
      <c r="Q38" s="180"/>
      <c r="R38" s="180"/>
      <c r="S38" s="176">
        <f t="shared" si="5"/>
        <v>0</v>
      </c>
      <c r="T38" s="127"/>
      <c r="U38" s="1401"/>
      <c r="V38" s="1401"/>
      <c r="W38" s="179"/>
      <c r="X38" s="1401"/>
      <c r="Y38" s="1401"/>
      <c r="Z38" s="179"/>
      <c r="AA38" s="110">
        <f t="shared" si="3"/>
        <v>120</v>
      </c>
    </row>
    <row r="39" spans="2:27" s="47" customFormat="1" ht="24.75" customHeight="1" x14ac:dyDescent="0.2">
      <c r="B39" s="128" t="s">
        <v>102</v>
      </c>
      <c r="C39" s="181"/>
      <c r="E39" s="185"/>
      <c r="F39" s="1401">
        <f>F7*GESTANTE!X66</f>
        <v>60</v>
      </c>
      <c r="G39" s="1401"/>
      <c r="H39" s="168"/>
      <c r="I39" s="182" t="e">
        <f>#REF!</f>
        <v>#REF!</v>
      </c>
      <c r="J39" s="1409"/>
      <c r="K39" s="1409"/>
      <c r="L39" s="179"/>
      <c r="M39" s="180"/>
      <c r="N39" s="180"/>
      <c r="O39" s="176">
        <f t="shared" si="6"/>
        <v>0</v>
      </c>
      <c r="P39" s="168"/>
      <c r="Q39" s="180"/>
      <c r="R39" s="180"/>
      <c r="S39" s="176">
        <f t="shared" si="5"/>
        <v>0</v>
      </c>
      <c r="T39" s="127"/>
      <c r="U39" s="1401"/>
      <c r="V39" s="1401"/>
      <c r="W39" s="179"/>
      <c r="X39" s="1401"/>
      <c r="Y39" s="1401"/>
      <c r="Z39" s="179"/>
      <c r="AA39" s="110">
        <f t="shared" si="3"/>
        <v>60</v>
      </c>
    </row>
    <row r="40" spans="2:27" s="47" customFormat="1" ht="24.75" customHeight="1" x14ac:dyDescent="0.2">
      <c r="B40" s="128" t="s">
        <v>178</v>
      </c>
      <c r="C40" s="181"/>
      <c r="E40" s="185"/>
      <c r="F40" s="1401">
        <f>F7*GESTANTE!X65</f>
        <v>60</v>
      </c>
      <c r="G40" s="1401"/>
      <c r="H40" s="168"/>
      <c r="I40" s="182"/>
      <c r="J40" s="1409"/>
      <c r="K40" s="1409"/>
      <c r="L40" s="179"/>
      <c r="M40" s="180"/>
      <c r="N40" s="180"/>
      <c r="O40" s="176">
        <f t="shared" si="6"/>
        <v>0</v>
      </c>
      <c r="P40" s="168"/>
      <c r="Q40" s="180"/>
      <c r="R40" s="180"/>
      <c r="S40" s="176">
        <f t="shared" si="5"/>
        <v>0</v>
      </c>
      <c r="T40" s="127"/>
      <c r="U40" s="1401"/>
      <c r="V40" s="1401"/>
      <c r="W40" s="179"/>
      <c r="X40" s="1401"/>
      <c r="Y40" s="1401"/>
      <c r="Z40" s="179"/>
      <c r="AA40" s="110">
        <f t="shared" si="3"/>
        <v>60</v>
      </c>
    </row>
    <row r="41" spans="2:27" s="47" customFormat="1" ht="24.75" customHeight="1" x14ac:dyDescent="0.2">
      <c r="B41" s="128" t="s">
        <v>83</v>
      </c>
      <c r="C41" s="181"/>
      <c r="E41" s="185"/>
      <c r="F41" s="1401">
        <f>F7*GESTANTE!X68</f>
        <v>60</v>
      </c>
      <c r="G41" s="1401"/>
      <c r="H41" s="168"/>
      <c r="I41" s="182" t="e">
        <f>#REF!</f>
        <v>#REF!</v>
      </c>
      <c r="J41" s="1409"/>
      <c r="K41" s="1409"/>
      <c r="L41" s="179"/>
      <c r="M41" s="180"/>
      <c r="N41" s="180"/>
      <c r="O41" s="176">
        <f t="shared" si="6"/>
        <v>0</v>
      </c>
      <c r="P41" s="168"/>
      <c r="Q41" s="180"/>
      <c r="R41" s="180"/>
      <c r="S41" s="176">
        <f t="shared" si="5"/>
        <v>0</v>
      </c>
      <c r="T41" s="127"/>
      <c r="U41" s="1401">
        <f>CADASTRO!AU27*IDOSO!X62*IDOSO!AD11</f>
        <v>25</v>
      </c>
      <c r="V41" s="1401"/>
      <c r="W41" s="179"/>
      <c r="X41" s="1401">
        <f>IDOSO!X62*('Ap.Diag.'!X7-(CADASTRO!AU27*IDOSO!AD11))</f>
        <v>277.36400000000003</v>
      </c>
      <c r="Y41" s="1401"/>
      <c r="Z41" s="179"/>
      <c r="AA41" s="110">
        <f t="shared" si="3"/>
        <v>362.36400000000003</v>
      </c>
    </row>
    <row r="42" spans="2:27" s="47" customFormat="1" ht="24.75" customHeight="1" x14ac:dyDescent="0.2">
      <c r="B42" s="128" t="s">
        <v>84</v>
      </c>
      <c r="C42" s="181"/>
      <c r="E42" s="185"/>
      <c r="F42" s="1401">
        <f>F7*GESTANTE!X69</f>
        <v>60</v>
      </c>
      <c r="G42" s="1401"/>
      <c r="H42" s="168"/>
      <c r="I42" s="182" t="e">
        <f>#REF!</f>
        <v>#REF!</v>
      </c>
      <c r="J42" s="1409"/>
      <c r="K42" s="1409"/>
      <c r="L42" s="179"/>
      <c r="M42" s="180"/>
      <c r="N42" s="180"/>
      <c r="O42" s="176">
        <f t="shared" si="6"/>
        <v>0</v>
      </c>
      <c r="P42" s="168"/>
      <c r="Q42" s="180"/>
      <c r="R42" s="180"/>
      <c r="S42" s="176">
        <f t="shared" si="5"/>
        <v>0</v>
      </c>
      <c r="T42" s="127"/>
      <c r="U42" s="1401"/>
      <c r="V42" s="1401"/>
      <c r="W42" s="179"/>
      <c r="X42" s="1401"/>
      <c r="Y42" s="1401"/>
      <c r="Z42" s="179"/>
      <c r="AA42" s="110">
        <f t="shared" si="3"/>
        <v>60</v>
      </c>
    </row>
    <row r="43" spans="2:27" s="47" customFormat="1" ht="24.75" customHeight="1" x14ac:dyDescent="0.2">
      <c r="B43" s="128" t="s">
        <v>85</v>
      </c>
      <c r="C43" s="181">
        <v>1</v>
      </c>
      <c r="E43" s="185"/>
      <c r="F43" s="1401"/>
      <c r="G43" s="1401"/>
      <c r="H43" s="168"/>
      <c r="I43" s="182" t="e">
        <f>#REF!</f>
        <v>#REF!</v>
      </c>
      <c r="J43" s="1409"/>
      <c r="K43" s="1409"/>
      <c r="L43" s="179"/>
      <c r="M43" s="180">
        <f>M7*DIABÉTICO!X87*DIABÉTICO!S17</f>
        <v>30.927750000000003</v>
      </c>
      <c r="N43" s="180">
        <f>N7*DIABÉTICO!X87*DIABÉTICO!S17</f>
        <v>21.185100000000002</v>
      </c>
      <c r="O43" s="176">
        <f t="shared" si="6"/>
        <v>52.112850000000009</v>
      </c>
      <c r="P43" s="168"/>
      <c r="Q43" s="180">
        <f>Q7*HIPERTENSO!X82</f>
        <v>200.43367500000002</v>
      </c>
      <c r="R43" s="180">
        <f>R7*HIPERTENSO!X82</f>
        <v>120</v>
      </c>
      <c r="S43" s="176">
        <f t="shared" si="5"/>
        <v>320.43367499999999</v>
      </c>
      <c r="T43" s="127"/>
      <c r="U43" s="1401"/>
      <c r="V43" s="1401"/>
      <c r="W43" s="179"/>
      <c r="X43" s="1401"/>
      <c r="Y43" s="1401"/>
      <c r="Z43" s="179"/>
      <c r="AA43" s="110">
        <f t="shared" si="3"/>
        <v>372.54652499999997</v>
      </c>
    </row>
    <row r="44" spans="2:27" s="47" customFormat="1" ht="24.75" customHeight="1" x14ac:dyDescent="0.2">
      <c r="B44" s="128" t="s">
        <v>92</v>
      </c>
      <c r="C44" s="181">
        <v>2</v>
      </c>
      <c r="E44" s="185"/>
      <c r="F44" s="1401"/>
      <c r="G44" s="1401"/>
      <c r="H44" s="168"/>
      <c r="I44" s="182" t="e">
        <f>#REF!</f>
        <v>#REF!</v>
      </c>
      <c r="J44" s="1409"/>
      <c r="K44" s="1409"/>
      <c r="L44" s="179"/>
      <c r="M44" s="180">
        <f>M7*DIABÉTICO!X88*DIABÉTICO!S17</f>
        <v>30.927750000000003</v>
      </c>
      <c r="N44" s="180">
        <f>N7*DIABÉTICO!X89*DIABÉTICO!S17</f>
        <v>42.370200000000004</v>
      </c>
      <c r="O44" s="176">
        <f t="shared" si="6"/>
        <v>73.297950000000014</v>
      </c>
      <c r="P44" s="168"/>
      <c r="Q44" s="180">
        <f>Q7*HIPERTENSO!X83</f>
        <v>200.43367500000002</v>
      </c>
      <c r="R44" s="180">
        <f>R7*HIPERTENSO!X83</f>
        <v>120</v>
      </c>
      <c r="S44" s="176">
        <f t="shared" si="5"/>
        <v>320.43367499999999</v>
      </c>
      <c r="T44" s="127"/>
      <c r="U44" s="1401"/>
      <c r="V44" s="1401"/>
      <c r="W44" s="179"/>
      <c r="X44" s="1401"/>
      <c r="Y44" s="1401"/>
      <c r="Z44" s="179"/>
      <c r="AA44" s="110">
        <f t="shared" si="3"/>
        <v>393.73162500000001</v>
      </c>
    </row>
    <row r="45" spans="2:27" s="47" customFormat="1" ht="24.75" customHeight="1" x14ac:dyDescent="0.2">
      <c r="B45" s="128" t="s">
        <v>86</v>
      </c>
      <c r="C45" s="183"/>
      <c r="E45" s="185"/>
      <c r="F45" s="1401"/>
      <c r="G45" s="1401"/>
      <c r="H45" s="168"/>
      <c r="I45" s="184" t="e">
        <f>#REF!</f>
        <v>#REF!</v>
      </c>
      <c r="J45" s="1414"/>
      <c r="K45" s="1415"/>
      <c r="L45" s="179"/>
      <c r="M45" s="180"/>
      <c r="N45" s="180"/>
      <c r="O45" s="176">
        <f>SUM(M45:N45)</f>
        <v>0</v>
      </c>
      <c r="P45" s="168"/>
      <c r="Q45" s="180">
        <f>Q7*HIPERTENSO!X84</f>
        <v>200.43367500000002</v>
      </c>
      <c r="R45" s="180">
        <f>R7*HIPERTENSO!X84</f>
        <v>120</v>
      </c>
      <c r="S45" s="176">
        <f>SUM(Q45:R45)</f>
        <v>320.43367499999999</v>
      </c>
      <c r="T45" s="127"/>
      <c r="U45" s="1401"/>
      <c r="V45" s="1401"/>
      <c r="W45" s="179"/>
      <c r="X45" s="1401"/>
      <c r="Y45" s="1401"/>
      <c r="Z45" s="179"/>
      <c r="AA45" s="110">
        <f t="shared" si="3"/>
        <v>320.43367499999999</v>
      </c>
    </row>
    <row r="46" spans="2:27" s="47" customFormat="1" ht="24.75" customHeight="1" x14ac:dyDescent="0.2">
      <c r="B46" s="128" t="s">
        <v>98</v>
      </c>
      <c r="C46" s="183"/>
      <c r="E46" s="185"/>
      <c r="F46" s="1401"/>
      <c r="G46" s="1401"/>
      <c r="H46" s="168"/>
      <c r="I46" s="184"/>
      <c r="J46" s="1414"/>
      <c r="K46" s="1415"/>
      <c r="L46" s="179"/>
      <c r="M46" s="180"/>
      <c r="N46" s="180"/>
      <c r="O46" s="176">
        <f>SUM(M46:N46)</f>
        <v>0</v>
      </c>
      <c r="P46" s="168"/>
      <c r="Q46" s="180"/>
      <c r="R46" s="180"/>
      <c r="S46" s="176">
        <f>SUM(Q46:R46)</f>
        <v>0</v>
      </c>
      <c r="T46" s="127"/>
      <c r="U46" s="1401">
        <f>((CADASTRO!AU27+CADASTRO!AU28)*IDOSO!X63*IDOSO!AD11)/2</f>
        <v>21.5</v>
      </c>
      <c r="V46" s="1401"/>
      <c r="W46" s="179"/>
      <c r="X46" s="1401">
        <f>(MULHER!V34*'Ap.Diag.'!Y7)-U46</f>
        <v>125</v>
      </c>
      <c r="Y46" s="1401"/>
      <c r="Z46" s="179"/>
      <c r="AA46" s="110">
        <f t="shared" si="3"/>
        <v>146.5</v>
      </c>
    </row>
    <row r="47" spans="2:27" s="47" customFormat="1" ht="24.75" customHeight="1" x14ac:dyDescent="0.2">
      <c r="B47" s="128" t="s">
        <v>532</v>
      </c>
      <c r="C47" s="183"/>
      <c r="E47" s="185"/>
      <c r="F47" s="1401"/>
      <c r="G47" s="1401"/>
      <c r="H47" s="168"/>
      <c r="I47" s="184"/>
      <c r="J47" s="1414"/>
      <c r="K47" s="1415"/>
      <c r="L47" s="179"/>
      <c r="M47" s="180"/>
      <c r="N47" s="180"/>
      <c r="O47" s="176">
        <f>SUM(M47:N47)</f>
        <v>0</v>
      </c>
      <c r="P47" s="168"/>
      <c r="Q47" s="180"/>
      <c r="R47" s="180"/>
      <c r="S47" s="176">
        <f>SUM(Q47:R47)</f>
        <v>0</v>
      </c>
      <c r="T47" s="127"/>
      <c r="U47" s="1401">
        <f>(CADASTRO!BS27+CADASTRO!BS28+CADASTRO!BS29)*IDOSO!AD11*IDOSO!X64</f>
        <v>121</v>
      </c>
      <c r="V47" s="1401"/>
      <c r="W47" s="179"/>
      <c r="X47" s="1401"/>
      <c r="Y47" s="1401"/>
      <c r="Z47" s="179"/>
      <c r="AA47" s="110">
        <f t="shared" si="3"/>
        <v>121</v>
      </c>
    </row>
    <row r="48" spans="2:27" s="47" customFormat="1" ht="24.75" customHeight="1" x14ac:dyDescent="0.2">
      <c r="B48" s="128" t="s">
        <v>385</v>
      </c>
      <c r="C48" s="183"/>
      <c r="E48" s="185"/>
      <c r="F48" s="1401"/>
      <c r="G48" s="1401"/>
      <c r="H48" s="168"/>
      <c r="I48" s="184"/>
      <c r="J48" s="1414"/>
      <c r="K48" s="1415"/>
      <c r="L48" s="179"/>
      <c r="M48" s="180"/>
      <c r="N48" s="180"/>
      <c r="O48" s="176">
        <f>SUM(M48:N48)</f>
        <v>0</v>
      </c>
      <c r="P48" s="168"/>
      <c r="Q48" s="180"/>
      <c r="R48" s="180"/>
      <c r="S48" s="176">
        <f>SUM(Q48:R48)</f>
        <v>0</v>
      </c>
      <c r="T48" s="127"/>
      <c r="U48" s="1401">
        <f>(CADASTRO!BG27+CADASTRO!BG28+CADASTRO!BG29)*IDOSO!X65*IDOSO!AD11</f>
        <v>56</v>
      </c>
      <c r="V48" s="1401"/>
      <c r="W48" s="179"/>
      <c r="X48" s="1401"/>
      <c r="Y48" s="1401"/>
      <c r="Z48" s="179"/>
      <c r="AA48" s="110">
        <f t="shared" si="3"/>
        <v>56</v>
      </c>
    </row>
    <row r="49" spans="2:27" s="47" customFormat="1" ht="24.75" customHeight="1" x14ac:dyDescent="0.2">
      <c r="B49" s="128" t="s">
        <v>533</v>
      </c>
      <c r="C49" s="183"/>
      <c r="E49" s="185"/>
      <c r="F49" s="1401"/>
      <c r="G49" s="1401"/>
      <c r="H49" s="168"/>
      <c r="I49" s="184"/>
      <c r="J49" s="1414"/>
      <c r="K49" s="1415"/>
      <c r="L49" s="179"/>
      <c r="M49" s="180"/>
      <c r="N49" s="180"/>
      <c r="O49" s="176">
        <f>SUM(M49:N49)</f>
        <v>0</v>
      </c>
      <c r="P49" s="168"/>
      <c r="Q49" s="180"/>
      <c r="R49" s="180"/>
      <c r="S49" s="176">
        <f>SUM(Q49:R49)</f>
        <v>0</v>
      </c>
      <c r="T49" s="127"/>
      <c r="U49" s="1401">
        <f>((CADASTRO!AU28+CADASTRO!AU29+CADASTRO!AU30+CADASTRO!AU31)*IDOSO!X66)+((CADASTRO!BG30+CADASTRO!BG31)*IDOSO!X66)*IDOSO!AD11</f>
        <v>59</v>
      </c>
      <c r="V49" s="1401"/>
      <c r="W49" s="179"/>
      <c r="X49" s="1401"/>
      <c r="Y49" s="1401"/>
      <c r="Z49" s="179"/>
      <c r="AA49" s="110">
        <f t="shared" si="3"/>
        <v>59</v>
      </c>
    </row>
    <row r="50" spans="2:27" ht="30" customHeight="1" x14ac:dyDescent="0.2">
      <c r="B50" s="63"/>
      <c r="C50" s="63"/>
    </row>
    <row r="51" spans="2:27" ht="9.75" customHeight="1" x14ac:dyDescent="0.2">
      <c r="C51" s="154"/>
      <c r="F51" s="158"/>
      <c r="G51" s="158"/>
      <c r="H51" s="158"/>
      <c r="I51" s="158"/>
      <c r="J51" s="158"/>
      <c r="K51" s="158"/>
      <c r="L51" s="158"/>
      <c r="M51" s="158"/>
      <c r="N51" s="158"/>
      <c r="P51" s="158"/>
      <c r="Q51" s="158"/>
      <c r="R51" s="158"/>
      <c r="S51" s="158"/>
      <c r="T51" s="158"/>
      <c r="U51" s="158"/>
      <c r="V51" s="158"/>
      <c r="W51" s="158"/>
      <c r="X51" s="158"/>
      <c r="Y51" s="158"/>
      <c r="Z51" s="158"/>
      <c r="AA51" s="158"/>
    </row>
    <row r="52" spans="2:27" s="158" customFormat="1" ht="30.75" customHeight="1" x14ac:dyDescent="0.2">
      <c r="B52" s="154"/>
      <c r="C52" s="154"/>
    </row>
    <row r="53" spans="2:27" s="158" customFormat="1" ht="20.25" customHeight="1" x14ac:dyDescent="0.2">
      <c r="B53" s="154"/>
      <c r="C53" s="154"/>
      <c r="F53" s="173"/>
      <c r="G53" s="173"/>
      <c r="H53" s="173"/>
      <c r="I53" s="173"/>
      <c r="J53" s="173"/>
      <c r="K53" s="173"/>
      <c r="L53" s="173"/>
      <c r="M53" s="173"/>
      <c r="N53" s="173"/>
      <c r="O53" s="173"/>
      <c r="P53" s="173"/>
      <c r="Q53" s="173"/>
      <c r="R53" s="173"/>
      <c r="S53" s="173"/>
      <c r="T53" s="173"/>
      <c r="U53" s="173"/>
      <c r="V53" s="173"/>
      <c r="W53" s="173"/>
      <c r="X53" s="173"/>
      <c r="Y53" s="173"/>
      <c r="Z53" s="173"/>
      <c r="AA53" s="173"/>
    </row>
    <row r="54" spans="2:27" s="173" customFormat="1" ht="20.25" hidden="1" customHeight="1" x14ac:dyDescent="0.2">
      <c r="B54" s="154"/>
      <c r="C54" s="154"/>
      <c r="F54" s="158"/>
      <c r="G54" s="158"/>
      <c r="H54" s="158"/>
      <c r="I54" s="158"/>
      <c r="J54" s="158"/>
      <c r="K54" s="158"/>
      <c r="L54" s="158"/>
      <c r="M54" s="158"/>
      <c r="N54" s="158"/>
      <c r="O54" s="158"/>
      <c r="P54" s="158"/>
      <c r="Q54" s="158"/>
      <c r="R54" s="158"/>
      <c r="S54" s="158"/>
      <c r="T54" s="158"/>
      <c r="U54" s="158"/>
      <c r="V54" s="158"/>
      <c r="W54" s="158"/>
      <c r="X54" s="158"/>
      <c r="Y54" s="158"/>
      <c r="Z54" s="158"/>
      <c r="AA54" s="158"/>
    </row>
    <row r="55" spans="2:27" s="158" customFormat="1" ht="9.75" customHeight="1" x14ac:dyDescent="0.2"/>
    <row r="56" spans="2:27" s="158" customFormat="1" ht="24.75" customHeight="1" x14ac:dyDescent="0.2"/>
    <row r="57" spans="2:27" s="158" customFormat="1" ht="9.75" customHeight="1" x14ac:dyDescent="0.2">
      <c r="B57" s="173"/>
      <c r="C57" s="173"/>
    </row>
    <row r="58" spans="2:27" s="158" customFormat="1" ht="24.75" customHeight="1" x14ac:dyDescent="0.2"/>
    <row r="59" spans="2:27" s="158" customFormat="1" ht="24.75" customHeight="1" x14ac:dyDescent="0.2"/>
    <row r="60" spans="2:27" s="158" customFormat="1" ht="24.75" customHeight="1" x14ac:dyDescent="0.2"/>
    <row r="61" spans="2:27" s="158" customFormat="1" ht="24.75" customHeight="1" x14ac:dyDescent="0.2"/>
    <row r="62" spans="2:27" s="158" customFormat="1" ht="24.75" customHeight="1" x14ac:dyDescent="0.2"/>
    <row r="63" spans="2:27" s="158" customFormat="1" ht="24.75" customHeight="1" x14ac:dyDescent="0.2"/>
    <row r="64" spans="2:27" s="158" customFormat="1" ht="24.75" customHeight="1" x14ac:dyDescent="0.2"/>
    <row r="65" s="158" customFormat="1" ht="24.75" customHeight="1" x14ac:dyDescent="0.2"/>
    <row r="66" s="158" customFormat="1" ht="24.75" customHeight="1" x14ac:dyDescent="0.2"/>
    <row r="67" s="158" customFormat="1" ht="24.75" customHeight="1" x14ac:dyDescent="0.2"/>
    <row r="68" s="158" customFormat="1" ht="24.75" customHeight="1" x14ac:dyDescent="0.2"/>
    <row r="69" s="158" customFormat="1" ht="24.75" customHeight="1" x14ac:dyDescent="0.2"/>
    <row r="70" s="158" customFormat="1" ht="24.75" customHeight="1" x14ac:dyDescent="0.2"/>
    <row r="71" s="158" customFormat="1" ht="24.75" customHeight="1" x14ac:dyDescent="0.2"/>
    <row r="72" s="158" customFormat="1" ht="24.75" customHeight="1" x14ac:dyDescent="0.2"/>
    <row r="73" s="158" customFormat="1" ht="24.75" customHeight="1" x14ac:dyDescent="0.2"/>
    <row r="74" s="158" customFormat="1" ht="24.75" customHeight="1" x14ac:dyDescent="0.2"/>
    <row r="75" s="158" customFormat="1" ht="24.75" customHeight="1" x14ac:dyDescent="0.2"/>
    <row r="76" s="158" customFormat="1" ht="24.75" customHeight="1" x14ac:dyDescent="0.2"/>
    <row r="77" s="158" customFormat="1" ht="24.75" customHeight="1" x14ac:dyDescent="0.2"/>
    <row r="78" s="158" customFormat="1" ht="24.75" customHeight="1" x14ac:dyDescent="0.2"/>
    <row r="79" s="158" customFormat="1" ht="24.75" customHeight="1" x14ac:dyDescent="0.2"/>
    <row r="80" s="158" customFormat="1" ht="24.75" customHeight="1" x14ac:dyDescent="0.2"/>
    <row r="81" spans="2:27" s="158" customFormat="1" ht="24.75" customHeight="1" x14ac:dyDescent="0.2"/>
    <row r="82" spans="2:27" s="158" customFormat="1" ht="24.75" customHeight="1" x14ac:dyDescent="0.2"/>
    <row r="83" spans="2:27" s="158" customFormat="1" ht="24.75" customHeight="1" x14ac:dyDescent="0.2"/>
    <row r="84" spans="2:27" s="158" customFormat="1" ht="24.75" customHeight="1" x14ac:dyDescent="0.2"/>
    <row r="85" spans="2:27" s="158" customFormat="1" ht="24.75" customHeight="1" x14ac:dyDescent="0.2"/>
    <row r="86" spans="2:27" s="158" customFormat="1" ht="24.75" customHeight="1" x14ac:dyDescent="0.2"/>
    <row r="87" spans="2:27" s="158" customFormat="1" ht="24.75" customHeight="1" x14ac:dyDescent="0.2"/>
    <row r="88" spans="2:27" s="158" customFormat="1" ht="24.75" customHeight="1" x14ac:dyDescent="0.2"/>
    <row r="89" spans="2:27" s="158" customFormat="1" ht="24.75" customHeight="1" x14ac:dyDescent="0.2"/>
    <row r="90" spans="2:27" s="158" customFormat="1" ht="24.75" customHeight="1" x14ac:dyDescent="0.2"/>
    <row r="91" spans="2:27" s="158" customFormat="1" ht="24.75" customHeight="1" x14ac:dyDescent="0.2"/>
    <row r="92" spans="2:27" s="158" customFormat="1" ht="24.75" customHeight="1" x14ac:dyDescent="0.2"/>
    <row r="93" spans="2:27" s="158" customFormat="1" ht="29.25" customHeight="1" x14ac:dyDescent="0.2">
      <c r="F93" s="154"/>
      <c r="G93" s="154"/>
      <c r="H93" s="154"/>
      <c r="I93" s="154"/>
      <c r="J93" s="154"/>
      <c r="K93" s="154"/>
      <c r="L93" s="154"/>
      <c r="M93" s="154"/>
      <c r="N93" s="154"/>
      <c r="P93" s="154"/>
      <c r="Q93" s="154"/>
      <c r="R93" s="154"/>
      <c r="S93" s="154"/>
      <c r="T93" s="154"/>
      <c r="U93" s="154"/>
      <c r="V93" s="154"/>
      <c r="W93" s="154"/>
      <c r="X93" s="154"/>
      <c r="Y93" s="154"/>
      <c r="Z93" s="154"/>
      <c r="AA93" s="154"/>
    </row>
    <row r="94" spans="2:27" x14ac:dyDescent="0.2">
      <c r="B94" s="158"/>
      <c r="C94" s="158"/>
    </row>
    <row r="95" spans="2:27" x14ac:dyDescent="0.2">
      <c r="B95" s="158"/>
      <c r="C95" s="158"/>
    </row>
    <row r="96" spans="2:27" x14ac:dyDescent="0.2">
      <c r="B96" s="174"/>
      <c r="C96" s="166"/>
    </row>
  </sheetData>
  <sheetProtection sheet="1"/>
  <mergeCells count="186">
    <mergeCell ref="X45:Y45"/>
    <mergeCell ref="X41:Y41"/>
    <mergeCell ref="X46:Y46"/>
    <mergeCell ref="X34:Y34"/>
    <mergeCell ref="X35:Y35"/>
    <mergeCell ref="X36:Y36"/>
    <mergeCell ref="X37:Y37"/>
    <mergeCell ref="X47:Y47"/>
    <mergeCell ref="X48:Y48"/>
    <mergeCell ref="F49:G49"/>
    <mergeCell ref="J49:K49"/>
    <mergeCell ref="U49:V49"/>
    <mergeCell ref="X20:Y20"/>
    <mergeCell ref="X21:Y21"/>
    <mergeCell ref="X22:Y22"/>
    <mergeCell ref="X23:Y23"/>
    <mergeCell ref="X24:Y24"/>
    <mergeCell ref="X25:Y25"/>
    <mergeCell ref="X26:Y26"/>
    <mergeCell ref="X27:Y27"/>
    <mergeCell ref="X38:Y38"/>
    <mergeCell ref="X39:Y39"/>
    <mergeCell ref="X28:Y28"/>
    <mergeCell ref="X29:Y29"/>
    <mergeCell ref="X30:Y30"/>
    <mergeCell ref="X31:Y31"/>
    <mergeCell ref="X32:Y32"/>
    <mergeCell ref="X33:Y33"/>
    <mergeCell ref="X49:Y49"/>
    <mergeCell ref="X40:Y40"/>
    <mergeCell ref="X42:Y42"/>
    <mergeCell ref="X43:Y43"/>
    <mergeCell ref="X44:Y44"/>
    <mergeCell ref="F46:G46"/>
    <mergeCell ref="J46:K46"/>
    <mergeCell ref="U46:V46"/>
    <mergeCell ref="F47:G47"/>
    <mergeCell ref="J47:K47"/>
    <mergeCell ref="U47:V47"/>
    <mergeCell ref="F48:G48"/>
    <mergeCell ref="J48:K48"/>
    <mergeCell ref="U48:V48"/>
    <mergeCell ref="U41:V41"/>
    <mergeCell ref="J6:K6"/>
    <mergeCell ref="J40:K40"/>
    <mergeCell ref="J41:K41"/>
    <mergeCell ref="J42:K42"/>
    <mergeCell ref="J43:K43"/>
    <mergeCell ref="U38:V38"/>
    <mergeCell ref="U39:V39"/>
    <mergeCell ref="U40:V40"/>
    <mergeCell ref="J17:K17"/>
    <mergeCell ref="U42:V42"/>
    <mergeCell ref="U13:V13"/>
    <mergeCell ref="U14:V14"/>
    <mergeCell ref="U15:V15"/>
    <mergeCell ref="U16:V16"/>
    <mergeCell ref="U17:V17"/>
    <mergeCell ref="U18:V19"/>
    <mergeCell ref="J22:K22"/>
    <mergeCell ref="J23:K23"/>
    <mergeCell ref="J24:K24"/>
    <mergeCell ref="J18:K19"/>
    <mergeCell ref="U31:V31"/>
    <mergeCell ref="U37:V37"/>
    <mergeCell ref="F44:G44"/>
    <mergeCell ref="F45:G45"/>
    <mergeCell ref="F18:G19"/>
    <mergeCell ref="J5:K5"/>
    <mergeCell ref="J10:K10"/>
    <mergeCell ref="J11:K11"/>
    <mergeCell ref="J12:K12"/>
    <mergeCell ref="J13:K13"/>
    <mergeCell ref="J14:K14"/>
    <mergeCell ref="J15:K15"/>
    <mergeCell ref="J20:K20"/>
    <mergeCell ref="J21:K21"/>
    <mergeCell ref="J25:K25"/>
    <mergeCell ref="J26:K26"/>
    <mergeCell ref="J27:K27"/>
    <mergeCell ref="J44:K44"/>
    <mergeCell ref="J45:K45"/>
    <mergeCell ref="J34:K34"/>
    <mergeCell ref="J35:K35"/>
    <mergeCell ref="U43:V43"/>
    <mergeCell ref="J30:K30"/>
    <mergeCell ref="U44:V44"/>
    <mergeCell ref="U45:V45"/>
    <mergeCell ref="J31:K31"/>
    <mergeCell ref="F31:G31"/>
    <mergeCell ref="F24:G24"/>
    <mergeCell ref="F25:G25"/>
    <mergeCell ref="F26:G26"/>
    <mergeCell ref="F27:G27"/>
    <mergeCell ref="F28:G28"/>
    <mergeCell ref="F29:G29"/>
    <mergeCell ref="F30:G30"/>
    <mergeCell ref="F43:G43"/>
    <mergeCell ref="J32:K32"/>
    <mergeCell ref="J33:K33"/>
    <mergeCell ref="F37:G37"/>
    <mergeCell ref="F36:G36"/>
    <mergeCell ref="F38:G38"/>
    <mergeCell ref="F39:G39"/>
    <mergeCell ref="F40:G40"/>
    <mergeCell ref="F41:G41"/>
    <mergeCell ref="F32:G32"/>
    <mergeCell ref="F33:G33"/>
    <mergeCell ref="F34:G34"/>
    <mergeCell ref="F35:G35"/>
    <mergeCell ref="J36:K36"/>
    <mergeCell ref="J37:K37"/>
    <mergeCell ref="J38:K38"/>
    <mergeCell ref="J39:K39"/>
    <mergeCell ref="F42:G42"/>
    <mergeCell ref="F21:G21"/>
    <mergeCell ref="F22:G22"/>
    <mergeCell ref="U30:V30"/>
    <mergeCell ref="X5:Y5"/>
    <mergeCell ref="X6:Y6"/>
    <mergeCell ref="X9:Y9"/>
    <mergeCell ref="X10:Y10"/>
    <mergeCell ref="M5:O5"/>
    <mergeCell ref="Q5:S5"/>
    <mergeCell ref="U27:V27"/>
    <mergeCell ref="U28:V28"/>
    <mergeCell ref="N18:N19"/>
    <mergeCell ref="U24:V24"/>
    <mergeCell ref="U5:V5"/>
    <mergeCell ref="U6:V6"/>
    <mergeCell ref="U9:V9"/>
    <mergeCell ref="U10:V10"/>
    <mergeCell ref="U11:V11"/>
    <mergeCell ref="U12:V12"/>
    <mergeCell ref="U22:V22"/>
    <mergeCell ref="U23:V23"/>
    <mergeCell ref="U25:V25"/>
    <mergeCell ref="U26:V26"/>
    <mergeCell ref="U20:V20"/>
    <mergeCell ref="U21:V21"/>
    <mergeCell ref="J16:K16"/>
    <mergeCell ref="B3:C3"/>
    <mergeCell ref="U29:V29"/>
    <mergeCell ref="B18:B19"/>
    <mergeCell ref="F5:G5"/>
    <mergeCell ref="O18:O19"/>
    <mergeCell ref="C18:C19"/>
    <mergeCell ref="F6:G6"/>
    <mergeCell ref="F10:G10"/>
    <mergeCell ref="F11:G11"/>
    <mergeCell ref="F12:G12"/>
    <mergeCell ref="F13:G13"/>
    <mergeCell ref="F14:G14"/>
    <mergeCell ref="F9:G9"/>
    <mergeCell ref="F15:G15"/>
    <mergeCell ref="J9:K9"/>
    <mergeCell ref="J28:K28"/>
    <mergeCell ref="J29:K29"/>
    <mergeCell ref="R18:R19"/>
    <mergeCell ref="F16:G16"/>
    <mergeCell ref="F17:G17"/>
    <mergeCell ref="F20:G20"/>
    <mergeCell ref="F3:AA3"/>
    <mergeCell ref="Q18:Q19"/>
    <mergeCell ref="F23:G23"/>
    <mergeCell ref="X16:Y16"/>
    <mergeCell ref="X17:Y17"/>
    <mergeCell ref="X18:Y19"/>
    <mergeCell ref="A1:P1"/>
    <mergeCell ref="U36:V36"/>
    <mergeCell ref="U32:V32"/>
    <mergeCell ref="U33:V33"/>
    <mergeCell ref="U34:V34"/>
    <mergeCell ref="U35:V35"/>
    <mergeCell ref="B5:B6"/>
    <mergeCell ref="F2:AA2"/>
    <mergeCell ref="I18:I19"/>
    <mergeCell ref="M18:M19"/>
    <mergeCell ref="X11:Y11"/>
    <mergeCell ref="X12:Y12"/>
    <mergeCell ref="X13:Y13"/>
    <mergeCell ref="X14:Y14"/>
    <mergeCell ref="S18:S19"/>
    <mergeCell ref="AA5:AA6"/>
    <mergeCell ref="X15:Y15"/>
    <mergeCell ref="AA18:AA19"/>
  </mergeCells>
  <pageMargins left="0.51181102362204722" right="0.51181102362204722" top="0.78740157480314965" bottom="0.78740157480314965" header="0.31496062992125984" footer="0.31496062992125984"/>
  <pageSetup paperSize="9" scale="66" orientation="landscape"/>
  <ignoredErrors>
    <ignoredError sqref="I7 A26:B32 H22:H25 A19:B19 C19:E19 O10:P10 A18 A15 A10:B14 A16:E17 P11:P17 O18:P18 P20 P41:P44 T12:T17 T41:T44 A3 D3:E3 C18:E18 A6:B6 A5:B5 H5 P5 AA5 A2:E2 A20:E25 O19:P19 AA3 H18:I18 C10:E15 AA2 H10:I14 A41:E44 A38:E39 N6:P6 H20:I21 H16:I17 H26:I37 H15 H41:H44 H38:H39 AA4 A33:A37 T21:T39 P21:P39 C26:E37 A4:I4 H6:I6 F2:I2 G3:I3 H19:I19 C5:E7 A7:B7 S10:T11 S18:T18 S20:T20 S19:T19 AA6 M4:P4 M2:P2 M8:P8 M3:P3 S7:T7 T5:T6 AA7:AA8 A8:I8 Q4:T4 Q2:T2 Q8:T8 Q3:T3" formula="1"/>
    <ignoredError sqref="O7:P7 G7:H7" formula="1"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AD56"/>
  <sheetViews>
    <sheetView zoomScaleNormal="100" workbookViewId="0">
      <selection activeCell="B3" sqref="B3:AD3"/>
    </sheetView>
  </sheetViews>
  <sheetFormatPr defaultRowHeight="15.75" x14ac:dyDescent="0.2"/>
  <cols>
    <col min="1" max="1" width="4.125" style="192" customWidth="1"/>
    <col min="2" max="2" width="5.875" style="192" customWidth="1"/>
    <col min="3" max="3" width="5.875" style="4" customWidth="1"/>
    <col min="4" max="7" width="5.875" style="192" customWidth="1"/>
    <col min="8" max="8" width="6.375" style="192" customWidth="1"/>
    <col min="9" max="9" width="5.875" style="192" customWidth="1"/>
    <col min="10" max="10" width="3.125" style="192" customWidth="1"/>
    <col min="11" max="11" width="6" style="192" customWidth="1"/>
    <col min="12" max="18" width="5.875" style="192" customWidth="1"/>
    <col min="19" max="19" width="10.125" style="192" customWidth="1"/>
    <col min="20" max="21" width="5.875" style="192" customWidth="1"/>
    <col min="22" max="22" width="5.375" style="192" customWidth="1"/>
    <col min="23" max="31" width="5.875" style="192" customWidth="1"/>
    <col min="32" max="32" width="2.875" style="192" customWidth="1"/>
    <col min="33" max="16384" width="9" style="192"/>
  </cols>
  <sheetData>
    <row r="1" spans="1:30" s="354" customFormat="1" ht="68.25" customHeight="1" thickBot="1" x14ac:dyDescent="0.3">
      <c r="A1" s="512"/>
      <c r="B1" s="512"/>
      <c r="C1" s="512"/>
      <c r="D1" s="512"/>
      <c r="E1" s="512"/>
      <c r="F1" s="512"/>
      <c r="G1" s="512"/>
      <c r="H1" s="512"/>
      <c r="I1" s="512"/>
      <c r="J1" s="512"/>
      <c r="K1" s="512"/>
      <c r="L1" s="512"/>
      <c r="M1" s="512"/>
      <c r="N1" s="512"/>
      <c r="O1" s="512"/>
      <c r="P1" s="512"/>
    </row>
    <row r="3" spans="1:30" ht="31.5" x14ac:dyDescent="0.2">
      <c r="B3" s="402" t="s">
        <v>423</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row>
    <row r="4" spans="1:30" ht="21" x14ac:dyDescent="0.2">
      <c r="C4" s="391" t="s">
        <v>248</v>
      </c>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row>
    <row r="5" spans="1:30" ht="7.5" customHeight="1" x14ac:dyDescent="0.2">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ht="7.5" customHeight="1" x14ac:dyDescent="0.2">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1" x14ac:dyDescent="0.2">
      <c r="D7" s="12" t="s">
        <v>249</v>
      </c>
      <c r="E7" s="10"/>
      <c r="F7" s="13"/>
      <c r="G7" s="461" t="s">
        <v>873</v>
      </c>
      <c r="H7" s="462"/>
      <c r="I7" s="462"/>
      <c r="J7" s="462"/>
      <c r="K7" s="462"/>
      <c r="L7" s="462"/>
      <c r="M7" s="462"/>
      <c r="N7" s="462"/>
      <c r="O7" s="462"/>
      <c r="P7" s="462"/>
      <c r="Q7" s="462"/>
      <c r="R7" s="462"/>
      <c r="S7" s="462"/>
      <c r="T7" s="462"/>
      <c r="U7" s="462"/>
      <c r="V7" s="462"/>
      <c r="W7" s="463"/>
      <c r="X7" s="10"/>
      <c r="Y7" s="10"/>
      <c r="Z7" s="10"/>
      <c r="AA7" s="10"/>
      <c r="AB7" s="10"/>
      <c r="AC7" s="10"/>
      <c r="AD7" s="10"/>
    </row>
    <row r="8" spans="1:30" ht="7.5" customHeight="1"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ht="21" x14ac:dyDescent="0.2">
      <c r="D9" s="12" t="s">
        <v>250</v>
      </c>
      <c r="E9" s="10"/>
      <c r="F9" s="13"/>
      <c r="G9" s="461" t="s">
        <v>874</v>
      </c>
      <c r="H9" s="462"/>
      <c r="I9" s="462"/>
      <c r="J9" s="462"/>
      <c r="K9" s="462"/>
      <c r="L9" s="462"/>
      <c r="M9" s="462"/>
      <c r="N9" s="462"/>
      <c r="O9" s="462"/>
      <c r="P9" s="462"/>
      <c r="Q9" s="462"/>
      <c r="R9" s="462"/>
      <c r="S9" s="462"/>
      <c r="T9" s="462"/>
      <c r="U9" s="462"/>
      <c r="V9" s="462"/>
      <c r="W9" s="463"/>
      <c r="X9" s="10"/>
      <c r="Y9" s="10"/>
      <c r="Z9" s="10"/>
      <c r="AA9" s="10"/>
      <c r="AB9" s="10"/>
      <c r="AC9" s="10"/>
      <c r="AD9" s="10"/>
    </row>
    <row r="10" spans="1:30" ht="10.5" customHeight="1"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1:30" ht="21" customHeight="1" x14ac:dyDescent="0.2">
      <c r="D11" s="12" t="s">
        <v>251</v>
      </c>
      <c r="E11" s="10"/>
      <c r="F11" s="10"/>
      <c r="G11" s="461" t="s">
        <v>783</v>
      </c>
      <c r="H11" s="462"/>
      <c r="I11" s="462"/>
      <c r="J11" s="462"/>
      <c r="K11" s="462"/>
      <c r="L11" s="462"/>
      <c r="M11" s="462"/>
      <c r="N11" s="462"/>
      <c r="O11" s="462"/>
      <c r="P11" s="462"/>
      <c r="Q11" s="462"/>
      <c r="R11" s="462"/>
      <c r="S11" s="462"/>
      <c r="T11" s="462"/>
      <c r="U11" s="462"/>
      <c r="V11" s="462"/>
      <c r="W11" s="463"/>
      <c r="X11" s="10"/>
      <c r="Y11" s="10"/>
      <c r="Z11" s="10"/>
      <c r="AA11" s="10"/>
      <c r="AB11" s="10"/>
      <c r="AC11" s="10"/>
      <c r="AD11" s="10"/>
    </row>
    <row r="12" spans="1:30" ht="9" customHeight="1"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row>
    <row r="13" spans="1:30" ht="21" customHeight="1" x14ac:dyDescent="0.2">
      <c r="D13" s="12" t="s">
        <v>252</v>
      </c>
      <c r="E13" s="10"/>
      <c r="F13" s="10"/>
      <c r="G13" s="461" t="s">
        <v>872</v>
      </c>
      <c r="H13" s="462"/>
      <c r="I13" s="462"/>
      <c r="J13" s="462"/>
      <c r="K13" s="462"/>
      <c r="L13" s="462"/>
      <c r="M13" s="462"/>
      <c r="N13" s="462"/>
      <c r="O13" s="462"/>
      <c r="P13" s="462"/>
      <c r="Q13" s="462"/>
      <c r="R13" s="462"/>
      <c r="S13" s="462"/>
      <c r="T13" s="462"/>
      <c r="U13" s="462"/>
      <c r="V13" s="462"/>
      <c r="W13" s="463"/>
      <c r="X13" s="10"/>
      <c r="Y13" s="10"/>
      <c r="Z13" s="10"/>
      <c r="AA13" s="10"/>
      <c r="AB13" s="10"/>
      <c r="AC13" s="10"/>
      <c r="AD13" s="10"/>
    </row>
    <row r="14" spans="1:30" ht="7.5" customHeight="1"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0" ht="21" x14ac:dyDescent="0.2">
      <c r="D15" s="12" t="s">
        <v>253</v>
      </c>
      <c r="E15" s="10"/>
      <c r="F15" s="10"/>
      <c r="G15" s="10"/>
      <c r="H15" s="10"/>
      <c r="I15" s="10"/>
      <c r="J15" s="12" t="s">
        <v>254</v>
      </c>
      <c r="K15" s="513">
        <v>44866</v>
      </c>
      <c r="L15" s="514"/>
      <c r="M15" s="514"/>
      <c r="N15" s="515"/>
      <c r="O15" s="15" t="s">
        <v>255</v>
      </c>
      <c r="P15" s="513">
        <v>45231</v>
      </c>
      <c r="Q15" s="514"/>
      <c r="R15" s="514"/>
      <c r="S15" s="515"/>
      <c r="T15" s="12"/>
      <c r="U15" s="12"/>
      <c r="V15" s="12"/>
      <c r="W15" s="10"/>
      <c r="X15" s="10"/>
      <c r="Y15" s="10"/>
      <c r="Z15" s="10"/>
      <c r="AA15" s="10"/>
      <c r="AB15" s="10"/>
      <c r="AC15" s="10"/>
      <c r="AD15" s="10"/>
    </row>
    <row r="16" spans="1:30" ht="7.5" customHeight="1" x14ac:dyDescent="0.2">
      <c r="B16" s="12"/>
      <c r="C16" s="12"/>
      <c r="D16" s="12"/>
      <c r="E16" s="12"/>
      <c r="F16" s="12"/>
      <c r="G16" s="12"/>
      <c r="H16" s="12"/>
      <c r="I16" s="12"/>
      <c r="J16" s="12"/>
      <c r="K16" s="12"/>
      <c r="L16" s="12"/>
      <c r="M16" s="12"/>
      <c r="N16" s="12"/>
      <c r="O16" s="12"/>
      <c r="P16" s="12"/>
      <c r="Q16" s="12"/>
      <c r="R16" s="12"/>
      <c r="S16" s="12"/>
      <c r="T16" s="12"/>
      <c r="U16" s="12"/>
      <c r="V16" s="12"/>
      <c r="W16" s="10"/>
      <c r="X16" s="10"/>
      <c r="Y16" s="10"/>
      <c r="Z16" s="10"/>
      <c r="AA16" s="10"/>
      <c r="AB16" s="10"/>
      <c r="AC16" s="10"/>
      <c r="AD16" s="10"/>
    </row>
    <row r="17" spans="2:30" ht="21" x14ac:dyDescent="0.2">
      <c r="B17" s="12"/>
      <c r="D17" s="12" t="s">
        <v>256</v>
      </c>
      <c r="E17" s="12"/>
      <c r="F17" s="12"/>
      <c r="G17" s="12"/>
      <c r="H17" s="12"/>
      <c r="I17" s="12"/>
      <c r="J17" s="12" t="s">
        <v>257</v>
      </c>
      <c r="K17" s="276"/>
      <c r="L17" s="15" t="s">
        <v>67</v>
      </c>
      <c r="M17" s="513"/>
      <c r="N17" s="514"/>
      <c r="O17" s="514"/>
      <c r="P17" s="515"/>
      <c r="Q17" s="12"/>
      <c r="R17" s="12"/>
      <c r="S17" s="12"/>
      <c r="T17" s="12"/>
      <c r="U17" s="12"/>
      <c r="V17" s="12"/>
      <c r="W17" s="10"/>
      <c r="X17" s="10"/>
      <c r="Y17" s="10"/>
      <c r="Z17" s="10"/>
      <c r="AA17" s="10"/>
      <c r="AB17" s="10"/>
      <c r="AC17" s="10"/>
      <c r="AD17" s="10"/>
    </row>
    <row r="18" spans="2:30" ht="7.5" customHeight="1" x14ac:dyDescent="0.2">
      <c r="B18" s="12"/>
      <c r="C18" s="12"/>
      <c r="D18" s="12"/>
      <c r="E18" s="12"/>
      <c r="F18" s="12"/>
      <c r="G18" s="12"/>
      <c r="H18" s="12"/>
      <c r="I18" s="12"/>
      <c r="J18" s="12"/>
      <c r="K18" s="12"/>
      <c r="L18" s="12"/>
      <c r="M18" s="12"/>
      <c r="N18" s="12"/>
      <c r="O18" s="12"/>
      <c r="P18" s="12"/>
      <c r="Q18" s="12"/>
      <c r="R18" s="12"/>
      <c r="S18" s="12"/>
      <c r="T18" s="12"/>
      <c r="U18" s="12"/>
      <c r="V18" s="12"/>
      <c r="W18" s="10"/>
      <c r="X18" s="10"/>
      <c r="Y18" s="10"/>
      <c r="Z18" s="10"/>
      <c r="AA18" s="10"/>
      <c r="AB18" s="10"/>
      <c r="AC18" s="10"/>
      <c r="AD18" s="10"/>
    </row>
    <row r="19" spans="2:30" ht="21" x14ac:dyDescent="0.2">
      <c r="C19" s="10"/>
      <c r="D19" s="10"/>
      <c r="E19" s="10"/>
      <c r="F19" s="10"/>
      <c r="G19" s="10"/>
      <c r="H19" s="10"/>
      <c r="I19" s="10"/>
      <c r="J19" s="10"/>
      <c r="K19" s="10"/>
      <c r="L19" s="10"/>
      <c r="M19" s="10"/>
      <c r="N19" s="10"/>
      <c r="O19" s="10"/>
      <c r="P19" s="10"/>
      <c r="Q19" s="42"/>
      <c r="R19" s="10"/>
      <c r="S19" s="10"/>
      <c r="T19" s="10"/>
      <c r="U19" s="10"/>
      <c r="V19" s="10"/>
      <c r="W19" s="10"/>
      <c r="X19" s="10"/>
      <c r="Y19" s="10"/>
      <c r="Z19" s="10"/>
      <c r="AA19" s="10"/>
      <c r="AB19" s="10"/>
      <c r="AC19" s="10"/>
      <c r="AD19" s="10"/>
    </row>
    <row r="20" spans="2:30" ht="21" x14ac:dyDescent="0.2">
      <c r="C20" s="391" t="s">
        <v>726</v>
      </c>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row>
    <row r="21" spans="2:30" ht="21" x14ac:dyDescent="0.2">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2:30" ht="21" customHeight="1" x14ac:dyDescent="0.2">
      <c r="C22" s="10"/>
      <c r="D22" s="10"/>
      <c r="E22" s="10"/>
      <c r="F22" s="464" t="s">
        <v>715</v>
      </c>
      <c r="G22" s="465"/>
      <c r="H22" s="465"/>
      <c r="I22" s="466"/>
      <c r="K22" s="464" t="s">
        <v>724</v>
      </c>
      <c r="L22" s="465"/>
      <c r="M22" s="466"/>
      <c r="O22" s="464" t="s">
        <v>728</v>
      </c>
      <c r="P22" s="465"/>
      <c r="Q22" s="466"/>
      <c r="R22" s="10"/>
      <c r="S22" s="516" t="s">
        <v>880</v>
      </c>
      <c r="T22" s="465" t="s">
        <v>881</v>
      </c>
      <c r="U22" s="466"/>
      <c r="V22" s="10"/>
      <c r="W22" s="464" t="s">
        <v>725</v>
      </c>
      <c r="X22" s="465"/>
      <c r="Y22" s="466"/>
      <c r="Z22" s="10"/>
      <c r="AA22" s="519" t="s">
        <v>882</v>
      </c>
      <c r="AB22" s="519"/>
      <c r="AC22" s="519"/>
      <c r="AD22" s="519"/>
    </row>
    <row r="23" spans="2:30" ht="76.5" customHeight="1" x14ac:dyDescent="0.2">
      <c r="C23" s="10"/>
      <c r="D23" s="10"/>
      <c r="E23" s="10"/>
      <c r="F23" s="467"/>
      <c r="G23" s="468"/>
      <c r="H23" s="468"/>
      <c r="I23" s="469"/>
      <c r="K23" s="528"/>
      <c r="L23" s="529"/>
      <c r="M23" s="530"/>
      <c r="O23" s="467"/>
      <c r="P23" s="468"/>
      <c r="Q23" s="469"/>
      <c r="R23" s="10"/>
      <c r="S23" s="517"/>
      <c r="T23" s="468"/>
      <c r="U23" s="469"/>
      <c r="V23" s="10"/>
      <c r="W23" s="467"/>
      <c r="X23" s="468"/>
      <c r="Y23" s="469"/>
      <c r="Z23" s="10"/>
      <c r="AA23" s="519"/>
      <c r="AB23" s="519"/>
      <c r="AC23" s="519"/>
      <c r="AD23" s="519"/>
    </row>
    <row r="24" spans="2:30" ht="21" customHeight="1" x14ac:dyDescent="0.2">
      <c r="C24" s="10"/>
      <c r="D24" s="10"/>
      <c r="E24" s="10"/>
      <c r="F24" s="458" t="s">
        <v>1</v>
      </c>
      <c r="G24" s="459"/>
      <c r="H24" s="459"/>
      <c r="I24" s="460"/>
      <c r="K24" s="470">
        <v>1</v>
      </c>
      <c r="L24" s="471"/>
      <c r="M24" s="472"/>
      <c r="O24" s="455">
        <v>40</v>
      </c>
      <c r="P24" s="456"/>
      <c r="Q24" s="457"/>
      <c r="R24" s="10"/>
      <c r="S24" s="362">
        <v>2</v>
      </c>
      <c r="T24" s="518">
        <v>1</v>
      </c>
      <c r="U24" s="457"/>
      <c r="V24" s="10"/>
      <c r="W24" s="455">
        <v>8</v>
      </c>
      <c r="X24" s="456"/>
      <c r="Y24" s="457"/>
      <c r="Z24" s="10"/>
      <c r="AA24" s="519"/>
      <c r="AB24" s="519"/>
      <c r="AC24" s="519"/>
      <c r="AD24" s="519"/>
    </row>
    <row r="25" spans="2:30" ht="21" x14ac:dyDescent="0.2">
      <c r="C25" s="10"/>
      <c r="D25" s="10"/>
      <c r="E25" s="10"/>
      <c r="F25" s="458" t="s">
        <v>2</v>
      </c>
      <c r="G25" s="459"/>
      <c r="H25" s="459"/>
      <c r="I25" s="460"/>
      <c r="K25" s="470">
        <v>1</v>
      </c>
      <c r="L25" s="471"/>
      <c r="M25" s="472"/>
      <c r="O25" s="455">
        <v>40</v>
      </c>
      <c r="P25" s="456"/>
      <c r="Q25" s="457"/>
      <c r="R25" s="10"/>
      <c r="S25" s="362">
        <v>2</v>
      </c>
      <c r="T25" s="518">
        <v>1</v>
      </c>
      <c r="U25" s="457"/>
      <c r="V25" s="10"/>
      <c r="W25" s="455">
        <v>4</v>
      </c>
      <c r="X25" s="456"/>
      <c r="Y25" s="457"/>
      <c r="Z25" s="10"/>
      <c r="AA25" s="519"/>
      <c r="AB25" s="519"/>
      <c r="AC25" s="519"/>
      <c r="AD25" s="519"/>
    </row>
    <row r="26" spans="2:30" ht="21" customHeight="1" x14ac:dyDescent="0.2">
      <c r="C26" s="10"/>
      <c r="D26" s="10"/>
      <c r="E26" s="10"/>
      <c r="F26" s="458" t="s">
        <v>206</v>
      </c>
      <c r="G26" s="459"/>
      <c r="H26" s="459"/>
      <c r="I26" s="460"/>
      <c r="K26" s="470">
        <v>1</v>
      </c>
      <c r="L26" s="471"/>
      <c r="M26" s="472"/>
      <c r="O26" s="455">
        <v>40</v>
      </c>
      <c r="P26" s="456"/>
      <c r="Q26" s="457"/>
      <c r="R26" s="10"/>
      <c r="S26" s="362">
        <v>2</v>
      </c>
      <c r="T26" s="518">
        <v>1</v>
      </c>
      <c r="U26" s="457"/>
      <c r="V26" s="10"/>
      <c r="W26" s="455">
        <v>4</v>
      </c>
      <c r="X26" s="456"/>
      <c r="Y26" s="457"/>
      <c r="Z26" s="10"/>
      <c r="AA26" s="519"/>
      <c r="AB26" s="519"/>
      <c r="AC26" s="519"/>
      <c r="AD26" s="519"/>
    </row>
    <row r="27" spans="2:30" ht="21" customHeight="1" x14ac:dyDescent="0.2">
      <c r="C27" s="10"/>
      <c r="D27" s="10"/>
      <c r="E27" s="10"/>
      <c r="F27" s="458" t="s">
        <v>714</v>
      </c>
      <c r="G27" s="459"/>
      <c r="H27" s="459"/>
      <c r="I27" s="460"/>
      <c r="K27" s="470">
        <v>2</v>
      </c>
      <c r="L27" s="471"/>
      <c r="M27" s="472"/>
      <c r="O27" s="455">
        <v>40</v>
      </c>
      <c r="P27" s="456"/>
      <c r="Q27" s="457"/>
      <c r="R27" s="10"/>
      <c r="S27" s="362">
        <v>2</v>
      </c>
      <c r="T27" s="518">
        <v>1</v>
      </c>
      <c r="U27" s="457"/>
      <c r="V27" s="10"/>
      <c r="W27" s="455">
        <v>8</v>
      </c>
      <c r="X27" s="456"/>
      <c r="Y27" s="457"/>
      <c r="Z27" s="10"/>
      <c r="AA27" s="519"/>
      <c r="AB27" s="519"/>
      <c r="AC27" s="519"/>
      <c r="AD27" s="519"/>
    </row>
    <row r="28" spans="2:30" ht="21" x14ac:dyDescent="0.2">
      <c r="C28" s="10"/>
      <c r="D28" s="10"/>
      <c r="E28" s="10"/>
      <c r="F28" s="458" t="s">
        <v>3</v>
      </c>
      <c r="G28" s="459"/>
      <c r="H28" s="459"/>
      <c r="I28" s="460"/>
      <c r="K28" s="470">
        <v>6</v>
      </c>
      <c r="L28" s="471"/>
      <c r="M28" s="472"/>
      <c r="O28" s="455">
        <v>40</v>
      </c>
      <c r="P28" s="456"/>
      <c r="Q28" s="457"/>
      <c r="R28" s="10"/>
      <c r="S28" s="362">
        <v>2</v>
      </c>
      <c r="T28" s="518">
        <v>1</v>
      </c>
      <c r="U28" s="457"/>
      <c r="V28" s="10"/>
      <c r="W28" s="455">
        <v>8</v>
      </c>
      <c r="X28" s="456"/>
      <c r="Y28" s="457"/>
      <c r="Z28" s="10"/>
      <c r="AA28" s="519"/>
      <c r="AB28" s="519"/>
      <c r="AC28" s="519"/>
      <c r="AD28" s="519"/>
    </row>
    <row r="29" spans="2:30" ht="21" x14ac:dyDescent="0.2">
      <c r="C29" s="10"/>
      <c r="D29" s="10"/>
      <c r="E29" s="10"/>
      <c r="F29" s="235"/>
      <c r="G29" s="235"/>
      <c r="H29" s="235"/>
      <c r="I29" s="235"/>
      <c r="K29" s="247"/>
      <c r="L29" s="247"/>
      <c r="M29" s="247"/>
      <c r="O29" s="235"/>
      <c r="P29" s="235"/>
      <c r="Q29" s="235"/>
      <c r="R29" s="10"/>
      <c r="S29" s="235"/>
      <c r="T29" s="235"/>
      <c r="U29" s="235"/>
      <c r="V29" s="10"/>
      <c r="W29" s="235"/>
      <c r="X29" s="235"/>
      <c r="Y29" s="235"/>
      <c r="Z29" s="10"/>
      <c r="AA29" s="10"/>
      <c r="AB29" s="10"/>
      <c r="AC29" s="10"/>
      <c r="AD29" s="10"/>
    </row>
    <row r="30" spans="2:30" ht="21" x14ac:dyDescent="0.2">
      <c r="C30" s="391" t="s">
        <v>716</v>
      </c>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row>
    <row r="31" spans="2:30" ht="15.75" customHeight="1" x14ac:dyDescent="0.2">
      <c r="C31" s="192"/>
      <c r="D31" s="289"/>
    </row>
    <row r="32" spans="2:30" ht="15.75" customHeight="1" x14ac:dyDescent="0.2">
      <c r="C32" s="192"/>
      <c r="D32" s="289"/>
      <c r="E32" s="473" t="s">
        <v>717</v>
      </c>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5"/>
    </row>
    <row r="33" spans="3:30" ht="15.75" customHeight="1" x14ac:dyDescent="0.2">
      <c r="C33" s="192"/>
      <c r="D33" s="289"/>
    </row>
    <row r="34" spans="3:30" ht="15.75" customHeight="1" x14ac:dyDescent="0.2">
      <c r="C34" s="192"/>
      <c r="D34" s="289"/>
      <c r="E34" s="473" t="s">
        <v>718</v>
      </c>
      <c r="F34" s="474"/>
      <c r="G34" s="474"/>
      <c r="H34" s="474"/>
      <c r="I34" s="474"/>
      <c r="J34" s="474"/>
      <c r="K34" s="474"/>
      <c r="L34" s="474"/>
      <c r="M34" s="474"/>
      <c r="N34" s="474"/>
      <c r="O34" s="474"/>
      <c r="P34" s="474"/>
      <c r="Q34" s="474"/>
      <c r="R34" s="474"/>
      <c r="S34" s="475"/>
      <c r="U34" s="473" t="s">
        <v>719</v>
      </c>
      <c r="V34" s="474"/>
      <c r="W34" s="474"/>
      <c r="X34" s="474"/>
      <c r="Y34" s="474"/>
      <c r="Z34" s="474"/>
      <c r="AA34" s="474"/>
      <c r="AB34" s="474"/>
      <c r="AC34" s="475"/>
    </row>
    <row r="35" spans="3:30" ht="15.75" customHeight="1" x14ac:dyDescent="0.2">
      <c r="C35" s="192"/>
      <c r="D35" s="289"/>
      <c r="E35" s="490" t="s">
        <v>1</v>
      </c>
      <c r="F35" s="491"/>
      <c r="G35" s="491"/>
      <c r="H35" s="492"/>
      <c r="J35" s="493" t="s">
        <v>202</v>
      </c>
      <c r="K35" s="494"/>
      <c r="L35" s="494"/>
      <c r="M35" s="494"/>
      <c r="N35" s="494"/>
      <c r="O35" s="495"/>
      <c r="Q35" s="496" t="s">
        <v>720</v>
      </c>
      <c r="R35" s="497"/>
      <c r="S35" s="498"/>
      <c r="U35" s="502">
        <v>15</v>
      </c>
      <c r="V35" s="503"/>
      <c r="W35" s="504" t="s">
        <v>204</v>
      </c>
      <c r="X35" s="504"/>
      <c r="Y35" s="504"/>
      <c r="Z35" s="504"/>
      <c r="AA35" s="504"/>
      <c r="AB35" s="504"/>
      <c r="AC35" s="505"/>
    </row>
    <row r="36" spans="3:30" ht="15.75" customHeight="1" x14ac:dyDescent="0.2">
      <c r="C36" s="192"/>
      <c r="D36" s="289"/>
      <c r="E36" s="484"/>
      <c r="F36" s="485"/>
      <c r="G36" s="485"/>
      <c r="H36" s="486"/>
      <c r="J36" s="506" t="s">
        <v>582</v>
      </c>
      <c r="K36" s="507"/>
      <c r="L36" s="507"/>
      <c r="M36" s="507"/>
      <c r="N36" s="507"/>
      <c r="O36" s="508"/>
      <c r="Q36" s="496"/>
      <c r="R36" s="497"/>
      <c r="S36" s="498"/>
      <c r="U36" s="487">
        <v>30</v>
      </c>
      <c r="V36" s="488"/>
      <c r="W36" s="409" t="s">
        <v>474</v>
      </c>
      <c r="X36" s="409"/>
      <c r="Y36" s="409"/>
      <c r="Z36" s="409"/>
      <c r="AA36" s="409"/>
      <c r="AB36" s="409"/>
      <c r="AC36" s="410"/>
    </row>
    <row r="37" spans="3:30" ht="15.75" customHeight="1" x14ac:dyDescent="0.2">
      <c r="C37" s="192"/>
      <c r="D37" s="289"/>
      <c r="E37" s="476" t="s">
        <v>2</v>
      </c>
      <c r="F37" s="459"/>
      <c r="G37" s="459"/>
      <c r="H37" s="477"/>
      <c r="J37" s="478" t="s">
        <v>202</v>
      </c>
      <c r="K37" s="479"/>
      <c r="L37" s="479"/>
      <c r="M37" s="479"/>
      <c r="N37" s="479"/>
      <c r="O37" s="480"/>
      <c r="Q37" s="496"/>
      <c r="R37" s="497"/>
      <c r="S37" s="498"/>
      <c r="U37" s="487">
        <v>15</v>
      </c>
      <c r="V37" s="488"/>
      <c r="W37" s="409" t="s">
        <v>205</v>
      </c>
      <c r="X37" s="409"/>
      <c r="Y37" s="409"/>
      <c r="Z37" s="409"/>
      <c r="AA37" s="409"/>
      <c r="AB37" s="409"/>
      <c r="AC37" s="410"/>
    </row>
    <row r="38" spans="3:30" ht="15.75" customHeight="1" x14ac:dyDescent="0.2">
      <c r="C38" s="192"/>
      <c r="D38" s="289"/>
      <c r="E38" s="509" t="s">
        <v>206</v>
      </c>
      <c r="F38" s="509"/>
      <c r="G38" s="509"/>
      <c r="H38" s="509"/>
      <c r="J38" s="478" t="s">
        <v>202</v>
      </c>
      <c r="K38" s="479"/>
      <c r="L38" s="479"/>
      <c r="M38" s="479"/>
      <c r="N38" s="479"/>
      <c r="O38" s="480"/>
      <c r="Q38" s="496"/>
      <c r="R38" s="497"/>
      <c r="S38" s="498"/>
      <c r="U38" s="487">
        <v>15</v>
      </c>
      <c r="V38" s="488"/>
      <c r="W38" s="409" t="s">
        <v>207</v>
      </c>
      <c r="X38" s="409"/>
      <c r="Y38" s="409"/>
      <c r="Z38" s="409"/>
      <c r="AA38" s="409"/>
      <c r="AB38" s="409"/>
      <c r="AC38" s="410"/>
    </row>
    <row r="39" spans="3:30" ht="15.75" customHeight="1" x14ac:dyDescent="0.2">
      <c r="C39" s="192"/>
      <c r="D39" s="289"/>
      <c r="E39" s="476" t="s">
        <v>3</v>
      </c>
      <c r="F39" s="459"/>
      <c r="G39" s="459"/>
      <c r="H39" s="477"/>
      <c r="J39" s="478" t="s">
        <v>462</v>
      </c>
      <c r="K39" s="479"/>
      <c r="L39" s="479"/>
      <c r="M39" s="479"/>
      <c r="N39" s="479"/>
      <c r="O39" s="480"/>
      <c r="Q39" s="496"/>
      <c r="R39" s="497"/>
      <c r="S39" s="498"/>
      <c r="U39" s="487">
        <v>45</v>
      </c>
      <c r="V39" s="488"/>
      <c r="W39" s="479" t="s">
        <v>464</v>
      </c>
      <c r="X39" s="479"/>
      <c r="Y39" s="479"/>
      <c r="Z39" s="479"/>
      <c r="AA39" s="479"/>
      <c r="AB39" s="479"/>
      <c r="AC39" s="480"/>
    </row>
    <row r="40" spans="3:30" ht="15.75" customHeight="1" x14ac:dyDescent="0.2">
      <c r="C40" s="192"/>
      <c r="D40" s="289"/>
      <c r="E40" s="481" t="s">
        <v>101</v>
      </c>
      <c r="F40" s="482"/>
      <c r="G40" s="482"/>
      <c r="H40" s="483"/>
      <c r="J40" s="478" t="s">
        <v>208</v>
      </c>
      <c r="K40" s="479"/>
      <c r="L40" s="479"/>
      <c r="M40" s="479"/>
      <c r="N40" s="479"/>
      <c r="O40" s="480"/>
      <c r="Q40" s="496"/>
      <c r="R40" s="497"/>
      <c r="S40" s="498"/>
      <c r="U40" s="487">
        <v>60</v>
      </c>
      <c r="V40" s="488"/>
      <c r="W40" s="409" t="s">
        <v>463</v>
      </c>
      <c r="X40" s="409"/>
      <c r="Y40" s="409"/>
      <c r="Z40" s="409"/>
      <c r="AA40" s="409"/>
      <c r="AB40" s="409"/>
      <c r="AC40" s="410"/>
    </row>
    <row r="41" spans="3:30" ht="15.75" customHeight="1" x14ac:dyDescent="0.2">
      <c r="C41" s="192"/>
      <c r="D41" s="289"/>
      <c r="E41" s="484"/>
      <c r="F41" s="485"/>
      <c r="G41" s="485"/>
      <c r="H41" s="486"/>
      <c r="J41" s="478" t="s">
        <v>209</v>
      </c>
      <c r="K41" s="479"/>
      <c r="L41" s="479"/>
      <c r="M41" s="479"/>
      <c r="N41" s="479"/>
      <c r="O41" s="480"/>
      <c r="Q41" s="499"/>
      <c r="R41" s="500"/>
      <c r="S41" s="501"/>
      <c r="U41" s="487">
        <v>20</v>
      </c>
      <c r="V41" s="488"/>
      <c r="W41" s="409" t="s">
        <v>721</v>
      </c>
      <c r="X41" s="409"/>
      <c r="Y41" s="409"/>
      <c r="Z41" s="409"/>
      <c r="AA41" s="409"/>
      <c r="AB41" s="409"/>
      <c r="AC41" s="410"/>
    </row>
    <row r="42" spans="3:30" ht="15.75" customHeight="1" x14ac:dyDescent="0.2">
      <c r="C42" s="192"/>
      <c r="D42" s="289"/>
      <c r="E42" s="289"/>
    </row>
    <row r="43" spans="3:30" ht="15.75" customHeight="1" x14ac:dyDescent="0.2">
      <c r="C43" s="192"/>
      <c r="D43" s="289"/>
      <c r="E43" s="289"/>
      <c r="F43" s="72"/>
      <c r="G43" s="72"/>
      <c r="H43" s="72"/>
      <c r="I43" s="72"/>
      <c r="J43" s="72"/>
      <c r="K43" s="72"/>
      <c r="L43" s="72"/>
      <c r="M43" s="72"/>
      <c r="N43" s="72"/>
      <c r="O43" s="72"/>
      <c r="P43" s="72"/>
      <c r="Q43" s="72"/>
      <c r="R43" s="72"/>
      <c r="S43" s="72"/>
      <c r="T43" s="72"/>
      <c r="U43" s="72"/>
      <c r="V43" s="72"/>
      <c r="W43" s="72"/>
      <c r="X43" s="45"/>
      <c r="Y43" s="45"/>
      <c r="Z43" s="45"/>
      <c r="AA43" s="45"/>
      <c r="AB43" s="45"/>
      <c r="AC43" s="45"/>
      <c r="AD43" s="45"/>
    </row>
    <row r="44" spans="3:30" ht="15.75" customHeight="1" x14ac:dyDescent="0.2">
      <c r="C44" s="192"/>
      <c r="D44" s="289"/>
      <c r="E44" s="489" t="s">
        <v>470</v>
      </c>
      <c r="F44" s="489"/>
      <c r="G44" s="489"/>
      <c r="H44" s="489"/>
      <c r="I44" s="489"/>
      <c r="J44" s="489"/>
      <c r="K44" s="489"/>
      <c r="L44" s="489"/>
      <c r="M44" s="489"/>
      <c r="N44" s="489"/>
      <c r="O44" s="72"/>
      <c r="P44" s="72"/>
      <c r="Q44" s="72"/>
      <c r="R44" s="72"/>
      <c r="S44" s="72"/>
      <c r="T44" s="72"/>
      <c r="U44" s="72"/>
      <c r="V44" s="72"/>
      <c r="W44" s="72"/>
      <c r="X44" s="45"/>
      <c r="Y44" s="45"/>
      <c r="Z44" s="45"/>
      <c r="AA44" s="45"/>
      <c r="AB44" s="45"/>
      <c r="AC44" s="45"/>
      <c r="AD44" s="45"/>
    </row>
    <row r="45" spans="3:30" ht="15.75" customHeight="1" x14ac:dyDescent="0.2">
      <c r="C45" s="192"/>
      <c r="D45" s="289"/>
      <c r="E45" s="511">
        <v>6</v>
      </c>
      <c r="F45" s="511"/>
      <c r="G45" s="510" t="s">
        <v>510</v>
      </c>
      <c r="H45" s="510"/>
      <c r="I45" s="510"/>
      <c r="J45" s="510"/>
      <c r="K45" s="510"/>
      <c r="L45" s="510"/>
      <c r="M45" s="510"/>
      <c r="N45" s="510"/>
      <c r="O45" s="72"/>
      <c r="P45" s="72"/>
      <c r="Q45" s="72"/>
      <c r="R45" s="72"/>
      <c r="S45" s="72"/>
      <c r="T45" s="72"/>
      <c r="U45" s="72"/>
      <c r="V45" s="72"/>
      <c r="W45" s="72"/>
      <c r="X45" s="45"/>
      <c r="Y45" s="45"/>
      <c r="Z45" s="45"/>
      <c r="AA45" s="45"/>
      <c r="AB45" s="45"/>
      <c r="AC45" s="45"/>
      <c r="AD45" s="45"/>
    </row>
    <row r="46" spans="3:30" ht="15.75" customHeight="1" x14ac:dyDescent="0.2">
      <c r="C46" s="192"/>
      <c r="D46" s="289"/>
      <c r="E46" s="511">
        <v>4</v>
      </c>
      <c r="F46" s="511"/>
      <c r="G46" s="510" t="s">
        <v>511</v>
      </c>
      <c r="H46" s="510"/>
      <c r="I46" s="510"/>
      <c r="J46" s="510"/>
      <c r="K46" s="510"/>
      <c r="L46" s="510"/>
      <c r="M46" s="510"/>
      <c r="N46" s="510"/>
      <c r="O46" s="72"/>
      <c r="P46" s="72"/>
      <c r="Q46" s="72"/>
      <c r="R46" s="72"/>
      <c r="S46" s="72"/>
      <c r="T46" s="72"/>
      <c r="U46" s="72"/>
      <c r="V46" s="72"/>
      <c r="W46" s="72"/>
      <c r="X46" s="45"/>
      <c r="Y46" s="45"/>
      <c r="Z46" s="45"/>
      <c r="AA46" s="45"/>
      <c r="AB46" s="45"/>
      <c r="AC46" s="45"/>
      <c r="AD46" s="45"/>
    </row>
    <row r="47" spans="3:30" ht="15.75" customHeight="1" x14ac:dyDescent="0.2">
      <c r="C47" s="192"/>
      <c r="D47" s="289"/>
      <c r="E47" s="511">
        <v>6</v>
      </c>
      <c r="F47" s="511"/>
      <c r="G47" s="510" t="s">
        <v>512</v>
      </c>
      <c r="H47" s="510"/>
      <c r="I47" s="510"/>
      <c r="J47" s="510"/>
      <c r="K47" s="510"/>
      <c r="L47" s="510"/>
      <c r="M47" s="510"/>
      <c r="N47" s="510"/>
      <c r="O47" s="72"/>
      <c r="P47" s="72"/>
      <c r="Q47" s="72"/>
      <c r="R47" s="72"/>
      <c r="S47" s="72"/>
      <c r="T47" s="72"/>
      <c r="U47" s="72"/>
      <c r="V47" s="72"/>
      <c r="W47" s="72"/>
      <c r="X47" s="45"/>
      <c r="Y47" s="45"/>
      <c r="Z47" s="45"/>
      <c r="AA47" s="45"/>
      <c r="AB47" s="45"/>
      <c r="AC47" s="45"/>
      <c r="AD47" s="45"/>
    </row>
    <row r="48" spans="3:30" ht="15.75" customHeight="1" x14ac:dyDescent="0.2">
      <c r="C48" s="192"/>
      <c r="D48" s="289"/>
      <c r="E48" s="511">
        <v>12</v>
      </c>
      <c r="F48" s="511"/>
      <c r="G48" s="510" t="s">
        <v>513</v>
      </c>
      <c r="H48" s="510"/>
      <c r="I48" s="510"/>
      <c r="J48" s="510"/>
      <c r="K48" s="510"/>
      <c r="L48" s="510"/>
      <c r="M48" s="510"/>
      <c r="N48" s="510"/>
      <c r="O48" s="72"/>
      <c r="P48" s="72"/>
      <c r="Q48" s="72"/>
      <c r="R48" s="72"/>
      <c r="S48" s="72"/>
      <c r="T48" s="72"/>
      <c r="U48" s="72"/>
      <c r="V48" s="72"/>
      <c r="W48" s="72"/>
      <c r="X48" s="45"/>
      <c r="Y48" s="45"/>
      <c r="Z48" s="45"/>
      <c r="AA48" s="45"/>
      <c r="AB48" s="45"/>
      <c r="AC48" s="45"/>
      <c r="AD48" s="45"/>
    </row>
    <row r="49" spans="2:30" ht="15.75" customHeight="1" x14ac:dyDescent="0.2">
      <c r="C49" s="192"/>
      <c r="D49" s="289"/>
      <c r="E49" s="511">
        <v>24</v>
      </c>
      <c r="F49" s="511"/>
      <c r="G49" s="510" t="s">
        <v>514</v>
      </c>
      <c r="H49" s="510"/>
      <c r="I49" s="510"/>
      <c r="J49" s="510"/>
      <c r="K49" s="510"/>
      <c r="L49" s="510"/>
      <c r="M49" s="510"/>
      <c r="N49" s="510"/>
      <c r="O49" s="72"/>
      <c r="P49" s="72"/>
      <c r="Q49" s="72"/>
      <c r="R49" s="72"/>
      <c r="S49" s="72"/>
      <c r="T49" s="72"/>
      <c r="U49" s="72"/>
      <c r="V49" s="72"/>
      <c r="W49" s="72"/>
      <c r="X49" s="45"/>
      <c r="Y49" s="45"/>
      <c r="Z49" s="45"/>
      <c r="AA49" s="45"/>
      <c r="AB49" s="45"/>
      <c r="AC49" s="45"/>
      <c r="AD49" s="45"/>
    </row>
    <row r="50" spans="2:30" ht="5.0999999999999996" customHeight="1" x14ac:dyDescent="0.2">
      <c r="P50" s="32"/>
      <c r="Q50" s="32"/>
      <c r="R50" s="32"/>
      <c r="S50" s="32"/>
      <c r="T50" s="32"/>
    </row>
    <row r="51" spans="2:30" ht="15.75" customHeight="1" x14ac:dyDescent="0.2">
      <c r="B51" s="193"/>
      <c r="C51" s="193"/>
      <c r="D51" s="193"/>
      <c r="E51" s="193"/>
      <c r="F51" s="193"/>
      <c r="G51" s="193"/>
      <c r="H51" s="193"/>
      <c r="I51" s="193"/>
      <c r="J51" s="193"/>
      <c r="K51" s="193"/>
      <c r="L51" s="193"/>
      <c r="M51" s="193"/>
      <c r="N51" s="193"/>
      <c r="O51" s="193"/>
    </row>
    <row r="52" spans="2:30" ht="21" x14ac:dyDescent="0.2">
      <c r="B52" s="193"/>
      <c r="C52" s="391" t="s">
        <v>862</v>
      </c>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row>
    <row r="53" spans="2:30" ht="15.75" customHeight="1" x14ac:dyDescent="0.2">
      <c r="B53" s="193"/>
      <c r="C53" s="193"/>
      <c r="D53" s="193"/>
      <c r="E53" s="193"/>
      <c r="F53" s="193"/>
      <c r="G53" s="193"/>
      <c r="H53" s="193"/>
      <c r="I53" s="193"/>
      <c r="J53" s="193"/>
      <c r="K53" s="193"/>
      <c r="L53" s="193"/>
      <c r="M53" s="193"/>
      <c r="N53" s="193"/>
      <c r="O53" s="193"/>
    </row>
    <row r="54" spans="2:30" ht="15.75" customHeight="1" x14ac:dyDescent="0.2">
      <c r="E54" s="525" t="s">
        <v>864</v>
      </c>
      <c r="F54" s="526"/>
      <c r="G54" s="526"/>
      <c r="H54" s="526"/>
      <c r="I54" s="526"/>
      <c r="J54" s="526"/>
      <c r="K54" s="526"/>
      <c r="L54" s="526"/>
      <c r="M54" s="526"/>
      <c r="N54" s="526"/>
      <c r="O54" s="526"/>
      <c r="P54" s="526"/>
      <c r="Q54" s="526"/>
      <c r="R54" s="527"/>
    </row>
    <row r="55" spans="2:30" ht="15.75" customHeight="1" x14ac:dyDescent="0.2">
      <c r="D55" s="353" t="s">
        <v>865</v>
      </c>
      <c r="E55" s="520" t="s">
        <v>866</v>
      </c>
      <c r="F55" s="521"/>
      <c r="G55" s="522" t="s">
        <v>863</v>
      </c>
      <c r="H55" s="523"/>
      <c r="I55" s="523"/>
      <c r="J55" s="523"/>
      <c r="K55" s="523"/>
      <c r="L55" s="523"/>
      <c r="M55" s="523"/>
      <c r="N55" s="523"/>
      <c r="O55" s="523"/>
      <c r="P55" s="523"/>
      <c r="Q55" s="523"/>
      <c r="R55" s="524"/>
    </row>
    <row r="56" spans="2:30" ht="15.75" customHeight="1" x14ac:dyDescent="0.2">
      <c r="D56" s="353" t="s">
        <v>866</v>
      </c>
      <c r="E56" s="520" t="s">
        <v>865</v>
      </c>
      <c r="F56" s="521"/>
      <c r="G56" s="522" t="s">
        <v>867</v>
      </c>
      <c r="H56" s="523"/>
      <c r="I56" s="523"/>
      <c r="J56" s="523"/>
      <c r="K56" s="523"/>
      <c r="L56" s="523"/>
      <c r="M56" s="523"/>
      <c r="N56" s="523"/>
      <c r="O56" s="523"/>
      <c r="P56" s="523"/>
      <c r="Q56" s="523"/>
      <c r="R56" s="524"/>
    </row>
  </sheetData>
  <sheetProtection sheet="1"/>
  <mergeCells count="91">
    <mergeCell ref="C52:AD52"/>
    <mergeCell ref="E55:F55"/>
    <mergeCell ref="E56:F56"/>
    <mergeCell ref="G55:R55"/>
    <mergeCell ref="E54:R54"/>
    <mergeCell ref="G56:R56"/>
    <mergeCell ref="O28:Q28"/>
    <mergeCell ref="K26:M26"/>
    <mergeCell ref="S22:S23"/>
    <mergeCell ref="T22:U23"/>
    <mergeCell ref="T24:U24"/>
    <mergeCell ref="T25:U25"/>
    <mergeCell ref="T26:U26"/>
    <mergeCell ref="T27:U27"/>
    <mergeCell ref="T28:U28"/>
    <mergeCell ref="K22:M23"/>
    <mergeCell ref="O22:Q23"/>
    <mergeCell ref="O25:Q25"/>
    <mergeCell ref="K27:M27"/>
    <mergeCell ref="K28:M28"/>
    <mergeCell ref="A1:P1"/>
    <mergeCell ref="F24:I24"/>
    <mergeCell ref="G11:W11"/>
    <mergeCell ref="G13:W13"/>
    <mergeCell ref="K15:N15"/>
    <mergeCell ref="P15:S15"/>
    <mergeCell ref="M17:P17"/>
    <mergeCell ref="C20:AD20"/>
    <mergeCell ref="O24:Q24"/>
    <mergeCell ref="AA22:AD28"/>
    <mergeCell ref="F22:I23"/>
    <mergeCell ref="F26:I26"/>
    <mergeCell ref="F28:I28"/>
    <mergeCell ref="G47:N47"/>
    <mergeCell ref="G45:N45"/>
    <mergeCell ref="E48:F48"/>
    <mergeCell ref="G48:N48"/>
    <mergeCell ref="E49:F49"/>
    <mergeCell ref="G49:N49"/>
    <mergeCell ref="E45:F45"/>
    <mergeCell ref="E47:F47"/>
    <mergeCell ref="E46:F46"/>
    <mergeCell ref="G46:N46"/>
    <mergeCell ref="E44:N44"/>
    <mergeCell ref="C30:AD30"/>
    <mergeCell ref="E35:H36"/>
    <mergeCell ref="J35:O35"/>
    <mergeCell ref="Q35:S41"/>
    <mergeCell ref="U35:V35"/>
    <mergeCell ref="W35:AC35"/>
    <mergeCell ref="E37:H37"/>
    <mergeCell ref="J36:O36"/>
    <mergeCell ref="J37:O37"/>
    <mergeCell ref="U37:V37"/>
    <mergeCell ref="W37:AC37"/>
    <mergeCell ref="E38:H38"/>
    <mergeCell ref="J38:O38"/>
    <mergeCell ref="U38:V38"/>
    <mergeCell ref="W38:AC38"/>
    <mergeCell ref="W41:AC41"/>
    <mergeCell ref="E32:AC32"/>
    <mergeCell ref="E34:S34"/>
    <mergeCell ref="U34:AC34"/>
    <mergeCell ref="E39:H39"/>
    <mergeCell ref="J39:O39"/>
    <mergeCell ref="W39:AC39"/>
    <mergeCell ref="E40:H41"/>
    <mergeCell ref="J40:O40"/>
    <mergeCell ref="U40:V40"/>
    <mergeCell ref="W40:AC40"/>
    <mergeCell ref="J41:O41"/>
    <mergeCell ref="U41:V41"/>
    <mergeCell ref="U39:V39"/>
    <mergeCell ref="U36:V36"/>
    <mergeCell ref="W36:AC36"/>
    <mergeCell ref="W28:Y28"/>
    <mergeCell ref="F27:I27"/>
    <mergeCell ref="B3:AD3"/>
    <mergeCell ref="O26:Q26"/>
    <mergeCell ref="G7:W7"/>
    <mergeCell ref="G9:W9"/>
    <mergeCell ref="C4:AD4"/>
    <mergeCell ref="F25:I25"/>
    <mergeCell ref="W22:Y23"/>
    <mergeCell ref="W24:Y24"/>
    <mergeCell ref="W25:Y25"/>
    <mergeCell ref="W26:Y26"/>
    <mergeCell ref="W27:Y27"/>
    <mergeCell ref="K24:M24"/>
    <mergeCell ref="K25:M25"/>
    <mergeCell ref="O27:Q27"/>
  </mergeCells>
  <dataValidations count="1">
    <dataValidation type="list" allowBlank="1" showInputMessage="1" showErrorMessage="1" sqref="E55:F56" xr:uid="{00000000-0002-0000-0000-000000000000}">
      <formula1>$D$55:$D$56</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CJ47"/>
  <sheetViews>
    <sheetView zoomScaleNormal="100" workbookViewId="0">
      <selection activeCell="O3" sqref="O3:CJ3"/>
    </sheetView>
  </sheetViews>
  <sheetFormatPr defaultColWidth="11" defaultRowHeight="15" x14ac:dyDescent="0.2"/>
  <cols>
    <col min="1" max="132" width="1.625" style="51" customWidth="1"/>
    <col min="133" max="16384" width="11" style="51"/>
  </cols>
  <sheetData>
    <row r="1" spans="1:88" s="355" customFormat="1" ht="68.25" customHeight="1" thickBot="1" x14ac:dyDescent="0.25">
      <c r="A1" s="364"/>
      <c r="B1" s="364"/>
      <c r="C1" s="364"/>
      <c r="D1" s="364"/>
      <c r="E1" s="364"/>
      <c r="F1" s="364"/>
      <c r="G1" s="364"/>
      <c r="H1" s="364"/>
      <c r="I1" s="364"/>
      <c r="J1" s="364"/>
      <c r="K1" s="364"/>
      <c r="L1" s="364"/>
      <c r="M1" s="364"/>
      <c r="N1" s="364"/>
      <c r="O1" s="364"/>
      <c r="P1" s="364"/>
    </row>
    <row r="2" spans="1:88" ht="9.75" customHeight="1" x14ac:dyDescent="0.2"/>
    <row r="3" spans="1:88" ht="23.25" customHeight="1" x14ac:dyDescent="0.2">
      <c r="O3" s="556" t="s">
        <v>51</v>
      </c>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c r="BV3" s="556"/>
      <c r="BW3" s="556"/>
      <c r="BX3" s="556"/>
      <c r="BY3" s="556"/>
      <c r="BZ3" s="556"/>
      <c r="CA3" s="556"/>
      <c r="CB3" s="556"/>
      <c r="CC3" s="556"/>
      <c r="CD3" s="556"/>
      <c r="CE3" s="556"/>
      <c r="CF3" s="556"/>
      <c r="CG3" s="556"/>
      <c r="CH3" s="556"/>
      <c r="CI3" s="556"/>
      <c r="CJ3" s="556"/>
    </row>
    <row r="4" spans="1:88" ht="9.75" customHeight="1" x14ac:dyDescent="0.2"/>
    <row r="5" spans="1:88" s="50" customFormat="1" ht="24.95" customHeight="1" x14ac:dyDescent="0.2">
      <c r="O5" s="553" t="s">
        <v>49</v>
      </c>
      <c r="P5" s="554"/>
      <c r="Q5" s="554"/>
      <c r="R5" s="554"/>
      <c r="S5" s="554"/>
      <c r="T5" s="554"/>
      <c r="U5" s="554"/>
      <c r="V5" s="554"/>
      <c r="W5" s="554"/>
      <c r="X5" s="554"/>
      <c r="Y5" s="554"/>
      <c r="Z5" s="554"/>
      <c r="AA5" s="554"/>
      <c r="AB5" s="554"/>
      <c r="AC5" s="555"/>
      <c r="AE5" s="539" t="s">
        <v>50</v>
      </c>
      <c r="AF5" s="539"/>
      <c r="AG5" s="539"/>
      <c r="AH5" s="539"/>
      <c r="AI5" s="539"/>
      <c r="AJ5" s="539"/>
      <c r="AK5" s="539"/>
      <c r="AL5" s="539"/>
      <c r="AM5" s="539"/>
      <c r="AN5" s="539"/>
      <c r="AO5" s="539"/>
      <c r="AP5" s="539"/>
      <c r="AQ5" s="539"/>
      <c r="AR5" s="539"/>
      <c r="AS5" s="539"/>
      <c r="AU5" s="539" t="s">
        <v>44</v>
      </c>
      <c r="AV5" s="539"/>
      <c r="AW5" s="539"/>
      <c r="AX5" s="539"/>
      <c r="AY5" s="539"/>
      <c r="AZ5" s="539"/>
      <c r="BA5" s="539"/>
      <c r="BB5" s="539"/>
      <c r="BC5" s="539"/>
      <c r="BD5" s="539"/>
      <c r="BE5" s="539"/>
      <c r="BG5" s="539" t="s">
        <v>45</v>
      </c>
      <c r="BH5" s="539"/>
      <c r="BI5" s="539"/>
      <c r="BJ5" s="539"/>
      <c r="BK5" s="539"/>
      <c r="BL5" s="539"/>
      <c r="BM5" s="539"/>
      <c r="BN5" s="539"/>
      <c r="BO5" s="539"/>
      <c r="BP5" s="539"/>
      <c r="BQ5" s="539"/>
      <c r="BS5" s="539" t="s">
        <v>4</v>
      </c>
      <c r="BT5" s="539"/>
      <c r="BU5" s="539"/>
      <c r="BV5" s="539"/>
      <c r="BW5" s="539"/>
      <c r="BX5" s="539"/>
      <c r="BY5" s="539"/>
      <c r="BZ5" s="539"/>
      <c r="CA5" s="539"/>
      <c r="CC5" s="540" t="s">
        <v>0</v>
      </c>
      <c r="CD5" s="539"/>
      <c r="CE5" s="539"/>
      <c r="CF5" s="539"/>
      <c r="CG5" s="539"/>
      <c r="CH5" s="539"/>
      <c r="CI5" s="539"/>
      <c r="CJ5" s="539"/>
    </row>
    <row r="6" spans="1:88" ht="7.5" customHeight="1" x14ac:dyDescent="0.2"/>
    <row r="7" spans="1:88" ht="20.100000000000001" customHeight="1" x14ac:dyDescent="0.2">
      <c r="O7" s="541" t="s">
        <v>7</v>
      </c>
      <c r="P7" s="542"/>
      <c r="Q7" s="542"/>
      <c r="R7" s="542"/>
      <c r="S7" s="542"/>
      <c r="T7" s="542"/>
      <c r="U7" s="542"/>
      <c r="V7" s="542"/>
      <c r="W7" s="542"/>
      <c r="X7" s="542"/>
      <c r="Y7" s="542"/>
      <c r="Z7" s="542"/>
      <c r="AA7" s="542"/>
      <c r="AB7" s="542"/>
      <c r="AC7" s="542"/>
      <c r="AE7" s="532" t="s">
        <v>305</v>
      </c>
      <c r="AF7" s="532"/>
      <c r="AG7" s="532"/>
      <c r="AH7" s="532"/>
      <c r="AI7" s="532"/>
      <c r="AJ7" s="532"/>
      <c r="AK7" s="532"/>
      <c r="AL7" s="532"/>
      <c r="AM7" s="532"/>
      <c r="AN7" s="532"/>
      <c r="AO7" s="532"/>
      <c r="AP7" s="532"/>
      <c r="AQ7" s="532"/>
      <c r="AR7" s="532"/>
      <c r="AS7" s="532"/>
      <c r="AU7" s="531">
        <v>30</v>
      </c>
      <c r="AV7" s="531"/>
      <c r="AW7" s="531"/>
      <c r="AX7" s="531"/>
      <c r="AY7" s="531"/>
      <c r="AZ7" s="531"/>
      <c r="BA7" s="531"/>
      <c r="BB7" s="531"/>
      <c r="BC7" s="531"/>
      <c r="BD7" s="531"/>
      <c r="BE7" s="531"/>
      <c r="BF7" s="52"/>
      <c r="BG7" s="531">
        <v>27</v>
      </c>
      <c r="BH7" s="531"/>
      <c r="BI7" s="531"/>
      <c r="BJ7" s="531"/>
      <c r="BK7" s="531"/>
      <c r="BL7" s="531"/>
      <c r="BM7" s="531"/>
      <c r="BN7" s="531"/>
      <c r="BO7" s="531"/>
      <c r="BP7" s="531"/>
      <c r="BQ7" s="531"/>
      <c r="BR7" s="52"/>
      <c r="BS7" s="534">
        <f>SUM(AU7,BG7)</f>
        <v>57</v>
      </c>
      <c r="BT7" s="534"/>
      <c r="BU7" s="534"/>
      <c r="BV7" s="534"/>
      <c r="BW7" s="534"/>
      <c r="BX7" s="534"/>
      <c r="BY7" s="534"/>
      <c r="BZ7" s="534"/>
      <c r="CA7" s="534"/>
      <c r="CC7" s="535">
        <f>IF(OR(BS7=0,$BS$34=0),0,BS7/$BS$34)</f>
        <v>1.7173847544441095E-2</v>
      </c>
      <c r="CD7" s="535"/>
      <c r="CE7" s="535"/>
      <c r="CF7" s="535"/>
      <c r="CG7" s="535"/>
      <c r="CH7" s="535"/>
      <c r="CI7" s="535"/>
      <c r="CJ7" s="535"/>
    </row>
    <row r="8" spans="1:88" ht="20.100000000000001" customHeight="1" x14ac:dyDescent="0.2">
      <c r="O8" s="543"/>
      <c r="P8" s="544"/>
      <c r="Q8" s="544"/>
      <c r="R8" s="544"/>
      <c r="S8" s="544"/>
      <c r="T8" s="544"/>
      <c r="U8" s="544"/>
      <c r="V8" s="544"/>
      <c r="W8" s="544"/>
      <c r="X8" s="544"/>
      <c r="Y8" s="544"/>
      <c r="Z8" s="544"/>
      <c r="AA8" s="544"/>
      <c r="AB8" s="544"/>
      <c r="AC8" s="544"/>
      <c r="AE8" s="532" t="s">
        <v>577</v>
      </c>
      <c r="AF8" s="532"/>
      <c r="AG8" s="532"/>
      <c r="AH8" s="532"/>
      <c r="AI8" s="532"/>
      <c r="AJ8" s="532"/>
      <c r="AK8" s="532"/>
      <c r="AL8" s="532"/>
      <c r="AM8" s="532"/>
      <c r="AN8" s="532"/>
      <c r="AO8" s="532"/>
      <c r="AP8" s="532"/>
      <c r="AQ8" s="532"/>
      <c r="AR8" s="532"/>
      <c r="AS8" s="532"/>
      <c r="AU8" s="531">
        <v>33</v>
      </c>
      <c r="AV8" s="531"/>
      <c r="AW8" s="531"/>
      <c r="AX8" s="531"/>
      <c r="AY8" s="531"/>
      <c r="AZ8" s="531"/>
      <c r="BA8" s="531"/>
      <c r="BB8" s="531"/>
      <c r="BC8" s="531"/>
      <c r="BD8" s="531"/>
      <c r="BE8" s="531"/>
      <c r="BF8" s="52"/>
      <c r="BG8" s="531">
        <v>22</v>
      </c>
      <c r="BH8" s="531"/>
      <c r="BI8" s="531"/>
      <c r="BJ8" s="531"/>
      <c r="BK8" s="531"/>
      <c r="BL8" s="531"/>
      <c r="BM8" s="531"/>
      <c r="BN8" s="531"/>
      <c r="BO8" s="531"/>
      <c r="BP8" s="531"/>
      <c r="BQ8" s="531"/>
      <c r="BR8" s="52"/>
      <c r="BS8" s="534">
        <f>SUM(AU8,BG8)</f>
        <v>55</v>
      </c>
      <c r="BT8" s="534"/>
      <c r="BU8" s="534"/>
      <c r="BV8" s="534"/>
      <c r="BW8" s="534"/>
      <c r="BX8" s="534"/>
      <c r="BY8" s="534"/>
      <c r="BZ8" s="534"/>
      <c r="CA8" s="534"/>
      <c r="CC8" s="535">
        <f>IF(OR(BS8=0,$BS$34=0),0,BS8/$BS$34)</f>
        <v>1.6571256402530883E-2</v>
      </c>
      <c r="CD8" s="535"/>
      <c r="CE8" s="535"/>
      <c r="CF8" s="535"/>
      <c r="CG8" s="535"/>
      <c r="CH8" s="535"/>
      <c r="CI8" s="535"/>
      <c r="CJ8" s="535"/>
    </row>
    <row r="9" spans="1:88" ht="20.100000000000001" customHeight="1" x14ac:dyDescent="0.2">
      <c r="O9" s="543"/>
      <c r="P9" s="544"/>
      <c r="Q9" s="544"/>
      <c r="R9" s="544"/>
      <c r="S9" s="544"/>
      <c r="T9" s="544"/>
      <c r="U9" s="544"/>
      <c r="V9" s="544"/>
      <c r="W9" s="544"/>
      <c r="X9" s="544"/>
      <c r="Y9" s="544"/>
      <c r="Z9" s="544"/>
      <c r="AA9" s="544"/>
      <c r="AB9" s="544"/>
      <c r="AC9" s="545"/>
      <c r="AD9" s="250"/>
      <c r="AE9" s="532" t="s">
        <v>578</v>
      </c>
      <c r="AF9" s="532"/>
      <c r="AG9" s="532"/>
      <c r="AH9" s="532"/>
      <c r="AI9" s="532"/>
      <c r="AJ9" s="532"/>
      <c r="AK9" s="532"/>
      <c r="AL9" s="532"/>
      <c r="AM9" s="532"/>
      <c r="AN9" s="532"/>
      <c r="AO9" s="532"/>
      <c r="AP9" s="532"/>
      <c r="AQ9" s="532"/>
      <c r="AR9" s="532"/>
      <c r="AS9" s="532"/>
      <c r="AU9" s="531">
        <v>120</v>
      </c>
      <c r="AV9" s="531"/>
      <c r="AW9" s="531"/>
      <c r="AX9" s="531"/>
      <c r="AY9" s="531"/>
      <c r="AZ9" s="531"/>
      <c r="BA9" s="531"/>
      <c r="BB9" s="531"/>
      <c r="BC9" s="531"/>
      <c r="BD9" s="531"/>
      <c r="BE9" s="531"/>
      <c r="BF9" s="52"/>
      <c r="BG9" s="531">
        <v>99</v>
      </c>
      <c r="BH9" s="531"/>
      <c r="BI9" s="531"/>
      <c r="BJ9" s="531"/>
      <c r="BK9" s="531"/>
      <c r="BL9" s="531"/>
      <c r="BM9" s="531"/>
      <c r="BN9" s="531"/>
      <c r="BO9" s="531"/>
      <c r="BP9" s="531"/>
      <c r="BQ9" s="531"/>
      <c r="BR9" s="52"/>
      <c r="BS9" s="534">
        <f>SUM(AU9,BG9)</f>
        <v>219</v>
      </c>
      <c r="BT9" s="534"/>
      <c r="BU9" s="534"/>
      <c r="BV9" s="534"/>
      <c r="BW9" s="534"/>
      <c r="BX9" s="534"/>
      <c r="BY9" s="534"/>
      <c r="BZ9" s="534"/>
      <c r="CA9" s="534"/>
      <c r="CC9" s="535">
        <f>IF(OR(BS9=0,$BS$34=0),0,BS9/$BS$34)</f>
        <v>6.5983730039168423E-2</v>
      </c>
      <c r="CD9" s="535"/>
      <c r="CE9" s="535"/>
      <c r="CF9" s="535"/>
      <c r="CG9" s="535"/>
      <c r="CH9" s="535"/>
      <c r="CI9" s="535"/>
      <c r="CJ9" s="535"/>
    </row>
    <row r="10" spans="1:88" ht="20.100000000000001" customHeight="1" x14ac:dyDescent="0.2">
      <c r="O10" s="543"/>
      <c r="P10" s="544"/>
      <c r="Q10" s="544"/>
      <c r="R10" s="544"/>
      <c r="S10" s="544"/>
      <c r="T10" s="544"/>
      <c r="U10" s="544"/>
      <c r="V10" s="544"/>
      <c r="W10" s="544"/>
      <c r="X10" s="544"/>
      <c r="Y10" s="544"/>
      <c r="Z10" s="544"/>
      <c r="AA10" s="544"/>
      <c r="AB10" s="544"/>
      <c r="AC10" s="544"/>
      <c r="AE10" s="532" t="s">
        <v>579</v>
      </c>
      <c r="AF10" s="532"/>
      <c r="AG10" s="532"/>
      <c r="AH10" s="532"/>
      <c r="AI10" s="532"/>
      <c r="AJ10" s="532"/>
      <c r="AK10" s="532"/>
      <c r="AL10" s="532"/>
      <c r="AM10" s="532"/>
      <c r="AN10" s="532"/>
      <c r="AO10" s="532"/>
      <c r="AP10" s="532"/>
      <c r="AQ10" s="532"/>
      <c r="AR10" s="532"/>
      <c r="AS10" s="532"/>
      <c r="AU10" s="531">
        <v>168</v>
      </c>
      <c r="AV10" s="531"/>
      <c r="AW10" s="531"/>
      <c r="AX10" s="531"/>
      <c r="AY10" s="531"/>
      <c r="AZ10" s="531"/>
      <c r="BA10" s="531"/>
      <c r="BB10" s="531"/>
      <c r="BC10" s="531"/>
      <c r="BD10" s="531"/>
      <c r="BE10" s="531"/>
      <c r="BF10" s="52"/>
      <c r="BG10" s="531">
        <v>116</v>
      </c>
      <c r="BH10" s="531"/>
      <c r="BI10" s="531"/>
      <c r="BJ10" s="531"/>
      <c r="BK10" s="531"/>
      <c r="BL10" s="531"/>
      <c r="BM10" s="531"/>
      <c r="BN10" s="531"/>
      <c r="BO10" s="531"/>
      <c r="BP10" s="531"/>
      <c r="BQ10" s="531"/>
      <c r="BR10" s="52"/>
      <c r="BS10" s="534">
        <f>SUM(AU10,BG10)</f>
        <v>284</v>
      </c>
      <c r="BT10" s="534"/>
      <c r="BU10" s="534"/>
      <c r="BV10" s="534"/>
      <c r="BW10" s="534"/>
      <c r="BX10" s="534"/>
      <c r="BY10" s="534"/>
      <c r="BZ10" s="534"/>
      <c r="CA10" s="534"/>
      <c r="CC10" s="535">
        <f>IF(OR(BS10=0,$BS$34=0),0,BS10/$BS$34)</f>
        <v>8.5567942151250381E-2</v>
      </c>
      <c r="CD10" s="535"/>
      <c r="CE10" s="535"/>
      <c r="CF10" s="535"/>
      <c r="CG10" s="535"/>
      <c r="CH10" s="535"/>
      <c r="CI10" s="535"/>
      <c r="CJ10" s="535"/>
    </row>
    <row r="11" spans="1:88" ht="20.100000000000001" customHeight="1" x14ac:dyDescent="0.2">
      <c r="O11" s="543"/>
      <c r="P11" s="544"/>
      <c r="Q11" s="544"/>
      <c r="R11" s="544"/>
      <c r="S11" s="544"/>
      <c r="T11" s="544"/>
      <c r="U11" s="544"/>
      <c r="V11" s="544"/>
      <c r="W11" s="544"/>
      <c r="X11" s="544"/>
      <c r="Y11" s="544"/>
      <c r="Z11" s="544"/>
      <c r="AA11" s="546"/>
      <c r="AB11" s="544"/>
      <c r="AC11" s="544"/>
      <c r="AE11" s="533" t="s">
        <v>52</v>
      </c>
      <c r="AF11" s="533"/>
      <c r="AG11" s="533"/>
      <c r="AH11" s="533"/>
      <c r="AI11" s="533"/>
      <c r="AJ11" s="533"/>
      <c r="AK11" s="533"/>
      <c r="AL11" s="533"/>
      <c r="AM11" s="533"/>
      <c r="AN11" s="533"/>
      <c r="AO11" s="533"/>
      <c r="AP11" s="533"/>
      <c r="AQ11" s="533"/>
      <c r="AR11" s="533"/>
      <c r="AS11" s="533"/>
      <c r="AT11" s="50"/>
      <c r="AU11" s="536">
        <f>SUM(AU7:BE10)</f>
        <v>351</v>
      </c>
      <c r="AV11" s="536"/>
      <c r="AW11" s="536"/>
      <c r="AX11" s="536"/>
      <c r="AY11" s="536"/>
      <c r="AZ11" s="536"/>
      <c r="BA11" s="536"/>
      <c r="BB11" s="536"/>
      <c r="BC11" s="536"/>
      <c r="BD11" s="536"/>
      <c r="BE11" s="536"/>
      <c r="BF11" s="55"/>
      <c r="BG11" s="536">
        <f>SUM(BG7:BQ10)</f>
        <v>264</v>
      </c>
      <c r="BH11" s="536"/>
      <c r="BI11" s="536"/>
      <c r="BJ11" s="536"/>
      <c r="BK11" s="536"/>
      <c r="BL11" s="536"/>
      <c r="BM11" s="536"/>
      <c r="BN11" s="536"/>
      <c r="BO11" s="536"/>
      <c r="BP11" s="536"/>
      <c r="BQ11" s="536"/>
      <c r="BR11" s="55"/>
      <c r="BS11" s="536">
        <f>SUM(BS7:CA10)</f>
        <v>615</v>
      </c>
      <c r="BT11" s="536"/>
      <c r="BU11" s="536"/>
      <c r="BV11" s="536"/>
      <c r="BW11" s="536"/>
      <c r="BX11" s="536"/>
      <c r="BY11" s="536"/>
      <c r="BZ11" s="536"/>
      <c r="CA11" s="536"/>
      <c r="CB11" s="50"/>
      <c r="CC11" s="535">
        <f>IF(OR(BS11=0,$BS$34=0),0,BS11/$BS$34)</f>
        <v>0.18529677613739079</v>
      </c>
      <c r="CD11" s="535"/>
      <c r="CE11" s="535"/>
      <c r="CF11" s="535"/>
      <c r="CG11" s="535"/>
      <c r="CH11" s="535"/>
      <c r="CI11" s="535"/>
      <c r="CJ11" s="535"/>
    </row>
    <row r="12" spans="1:88" ht="7.5" customHeight="1" x14ac:dyDescent="0.2">
      <c r="AA12" s="59"/>
      <c r="AE12" s="53"/>
      <c r="AF12" s="53"/>
      <c r="AG12" s="53"/>
      <c r="AH12" s="53"/>
      <c r="AI12" s="53"/>
      <c r="AJ12" s="53"/>
      <c r="AK12" s="53"/>
      <c r="AL12" s="53"/>
      <c r="AM12" s="53"/>
      <c r="AN12" s="53"/>
      <c r="AO12" s="53"/>
      <c r="AP12" s="53"/>
      <c r="AQ12" s="53"/>
      <c r="AR12" s="53"/>
      <c r="AS12" s="53"/>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C12" s="54"/>
      <c r="CD12" s="54"/>
      <c r="CE12" s="54"/>
      <c r="CF12" s="54"/>
      <c r="CG12" s="54"/>
      <c r="CH12" s="54"/>
      <c r="CI12" s="54"/>
      <c r="CJ12" s="54"/>
    </row>
    <row r="13" spans="1:88" ht="20.100000000000001" customHeight="1" x14ac:dyDescent="0.2">
      <c r="O13" s="539" t="s">
        <v>47</v>
      </c>
      <c r="P13" s="539"/>
      <c r="Q13" s="539"/>
      <c r="R13" s="539"/>
      <c r="S13" s="539"/>
      <c r="T13" s="539"/>
      <c r="U13" s="539"/>
      <c r="V13" s="539"/>
      <c r="W13" s="539"/>
      <c r="X13" s="539"/>
      <c r="Y13" s="539"/>
      <c r="Z13" s="539"/>
      <c r="AA13" s="539"/>
      <c r="AB13" s="539"/>
      <c r="AC13" s="539"/>
      <c r="AE13" s="532" t="s">
        <v>30</v>
      </c>
      <c r="AF13" s="532"/>
      <c r="AG13" s="532"/>
      <c r="AH13" s="532"/>
      <c r="AI13" s="532"/>
      <c r="AJ13" s="532"/>
      <c r="AK13" s="532"/>
      <c r="AL13" s="532"/>
      <c r="AM13" s="532"/>
      <c r="AN13" s="532"/>
      <c r="AO13" s="532"/>
      <c r="AP13" s="532"/>
      <c r="AQ13" s="532"/>
      <c r="AR13" s="532"/>
      <c r="AS13" s="532"/>
      <c r="AU13" s="531">
        <v>186</v>
      </c>
      <c r="AV13" s="531"/>
      <c r="AW13" s="531"/>
      <c r="AX13" s="531"/>
      <c r="AY13" s="531"/>
      <c r="AZ13" s="531"/>
      <c r="BA13" s="531"/>
      <c r="BB13" s="531"/>
      <c r="BC13" s="531"/>
      <c r="BD13" s="531"/>
      <c r="BE13" s="531"/>
      <c r="BF13" s="52"/>
      <c r="BG13" s="531">
        <v>87</v>
      </c>
      <c r="BH13" s="531"/>
      <c r="BI13" s="531"/>
      <c r="BJ13" s="531"/>
      <c r="BK13" s="531"/>
      <c r="BL13" s="531"/>
      <c r="BM13" s="531"/>
      <c r="BN13" s="531"/>
      <c r="BO13" s="531"/>
      <c r="BP13" s="531"/>
      <c r="BQ13" s="531"/>
      <c r="BR13" s="52"/>
      <c r="BS13" s="534">
        <f>SUM(AU13,BG13)</f>
        <v>273</v>
      </c>
      <c r="BT13" s="534"/>
      <c r="BU13" s="534"/>
      <c r="BV13" s="534"/>
      <c r="BW13" s="534"/>
      <c r="BX13" s="534"/>
      <c r="BY13" s="534"/>
      <c r="BZ13" s="534"/>
      <c r="CA13" s="534"/>
      <c r="CC13" s="535">
        <f>IF(OR(BS13=0,$BS$34=0),0,BS13/$BS$34)</f>
        <v>8.2253690870744203E-2</v>
      </c>
      <c r="CD13" s="535"/>
      <c r="CE13" s="535"/>
      <c r="CF13" s="535"/>
      <c r="CG13" s="535"/>
      <c r="CH13" s="535"/>
      <c r="CI13" s="535"/>
      <c r="CJ13" s="535"/>
    </row>
    <row r="14" spans="1:88" ht="20.100000000000001" customHeight="1" x14ac:dyDescent="0.2">
      <c r="O14" s="539"/>
      <c r="P14" s="539"/>
      <c r="Q14" s="539"/>
      <c r="R14" s="539"/>
      <c r="S14" s="539"/>
      <c r="T14" s="539"/>
      <c r="U14" s="539"/>
      <c r="V14" s="539"/>
      <c r="W14" s="539"/>
      <c r="X14" s="539"/>
      <c r="Y14" s="539"/>
      <c r="Z14" s="539"/>
      <c r="AA14" s="539"/>
      <c r="AB14" s="539"/>
      <c r="AC14" s="539"/>
      <c r="AE14" s="532" t="s">
        <v>653</v>
      </c>
      <c r="AF14" s="532"/>
      <c r="AG14" s="532"/>
      <c r="AH14" s="532"/>
      <c r="AI14" s="532"/>
      <c r="AJ14" s="532"/>
      <c r="AK14" s="532"/>
      <c r="AL14" s="532"/>
      <c r="AM14" s="532"/>
      <c r="AN14" s="532"/>
      <c r="AO14" s="532"/>
      <c r="AP14" s="532"/>
      <c r="AQ14" s="532"/>
      <c r="AR14" s="532"/>
      <c r="AS14" s="532"/>
      <c r="AU14" s="531">
        <v>230</v>
      </c>
      <c r="AV14" s="531"/>
      <c r="AW14" s="531"/>
      <c r="AX14" s="531"/>
      <c r="AY14" s="531"/>
      <c r="AZ14" s="531"/>
      <c r="BA14" s="531"/>
      <c r="BB14" s="531"/>
      <c r="BC14" s="531"/>
      <c r="BD14" s="531"/>
      <c r="BE14" s="531"/>
      <c r="BF14" s="52"/>
      <c r="BG14" s="531">
        <v>101</v>
      </c>
      <c r="BH14" s="531"/>
      <c r="BI14" s="531"/>
      <c r="BJ14" s="531"/>
      <c r="BK14" s="531"/>
      <c r="BL14" s="531"/>
      <c r="BM14" s="531"/>
      <c r="BN14" s="531"/>
      <c r="BO14" s="531"/>
      <c r="BP14" s="531"/>
      <c r="BQ14" s="531"/>
      <c r="BR14" s="52"/>
      <c r="BS14" s="534">
        <f>SUM(AU14,BG14)</f>
        <v>331</v>
      </c>
      <c r="BT14" s="534"/>
      <c r="BU14" s="534"/>
      <c r="BV14" s="534"/>
      <c r="BW14" s="534"/>
      <c r="BX14" s="534"/>
      <c r="BY14" s="534"/>
      <c r="BZ14" s="534"/>
      <c r="CA14" s="534"/>
      <c r="CC14" s="535">
        <f>IF(OR(BS14=0,$BS$34=0),0,BS14/$BS$34)</f>
        <v>9.9728833986140408E-2</v>
      </c>
      <c r="CD14" s="535"/>
      <c r="CE14" s="535"/>
      <c r="CF14" s="535"/>
      <c r="CG14" s="535"/>
      <c r="CH14" s="535"/>
      <c r="CI14" s="535"/>
      <c r="CJ14" s="535"/>
    </row>
    <row r="15" spans="1:88" ht="20.100000000000001" customHeight="1" x14ac:dyDescent="0.2">
      <c r="O15" s="539"/>
      <c r="P15" s="539"/>
      <c r="Q15" s="539"/>
      <c r="R15" s="539"/>
      <c r="S15" s="539"/>
      <c r="T15" s="539"/>
      <c r="U15" s="539"/>
      <c r="V15" s="539"/>
      <c r="W15" s="539"/>
      <c r="X15" s="539"/>
      <c r="Y15" s="539"/>
      <c r="Z15" s="539"/>
      <c r="AA15" s="539"/>
      <c r="AB15" s="539"/>
      <c r="AC15" s="539"/>
      <c r="AE15" s="533" t="s">
        <v>53</v>
      </c>
      <c r="AF15" s="533"/>
      <c r="AG15" s="533"/>
      <c r="AH15" s="533"/>
      <c r="AI15" s="533"/>
      <c r="AJ15" s="533"/>
      <c r="AK15" s="533"/>
      <c r="AL15" s="533"/>
      <c r="AM15" s="533"/>
      <c r="AN15" s="533"/>
      <c r="AO15" s="533"/>
      <c r="AP15" s="533"/>
      <c r="AQ15" s="533"/>
      <c r="AR15" s="533"/>
      <c r="AS15" s="533"/>
      <c r="AT15" s="50"/>
      <c r="AU15" s="536">
        <f>SUM(AU13:BE14)</f>
        <v>416</v>
      </c>
      <c r="AV15" s="536"/>
      <c r="AW15" s="536"/>
      <c r="AX15" s="536"/>
      <c r="AY15" s="536"/>
      <c r="AZ15" s="536"/>
      <c r="BA15" s="536"/>
      <c r="BB15" s="536"/>
      <c r="BC15" s="536"/>
      <c r="BD15" s="536"/>
      <c r="BE15" s="536"/>
      <c r="BF15" s="55"/>
      <c r="BG15" s="536">
        <f>SUM(BG13:BQ14)</f>
        <v>188</v>
      </c>
      <c r="BH15" s="536"/>
      <c r="BI15" s="536"/>
      <c r="BJ15" s="536"/>
      <c r="BK15" s="536"/>
      <c r="BL15" s="536"/>
      <c r="BM15" s="536"/>
      <c r="BN15" s="536"/>
      <c r="BO15" s="536"/>
      <c r="BP15" s="536"/>
      <c r="BQ15" s="536"/>
      <c r="BR15" s="55"/>
      <c r="BS15" s="536">
        <f>SUM(BS13:CA14)</f>
        <v>604</v>
      </c>
      <c r="BT15" s="536"/>
      <c r="BU15" s="536"/>
      <c r="BV15" s="536"/>
      <c r="BW15" s="536"/>
      <c r="BX15" s="536"/>
      <c r="BY15" s="536"/>
      <c r="BZ15" s="536"/>
      <c r="CA15" s="536"/>
      <c r="CB15" s="50"/>
      <c r="CC15" s="535">
        <f>IF(OR(BS15=0,$BS$34=0),0,BS15/$BS$34)</f>
        <v>0.1819825248568846</v>
      </c>
      <c r="CD15" s="535"/>
      <c r="CE15" s="535"/>
      <c r="CF15" s="535"/>
      <c r="CG15" s="535"/>
      <c r="CH15" s="535"/>
      <c r="CI15" s="535"/>
      <c r="CJ15" s="535"/>
    </row>
    <row r="16" spans="1:88" ht="7.5" customHeight="1" x14ac:dyDescent="0.2">
      <c r="AE16" s="547"/>
      <c r="AF16" s="547"/>
      <c r="AG16" s="547"/>
      <c r="AH16" s="547"/>
      <c r="AI16" s="547"/>
      <c r="AJ16" s="547"/>
      <c r="AK16" s="547"/>
      <c r="AL16" s="547"/>
      <c r="AM16" s="547"/>
      <c r="AN16" s="547"/>
      <c r="AO16" s="547"/>
      <c r="AP16" s="547"/>
      <c r="AQ16" s="547"/>
      <c r="AR16" s="547"/>
      <c r="AS16" s="547"/>
      <c r="AU16" s="537"/>
      <c r="AV16" s="537"/>
      <c r="AW16" s="537"/>
      <c r="AX16" s="537"/>
      <c r="AY16" s="537"/>
      <c r="AZ16" s="537"/>
      <c r="BA16" s="537"/>
      <c r="BB16" s="537"/>
      <c r="BC16" s="537"/>
      <c r="BD16" s="537"/>
      <c r="BE16" s="537"/>
      <c r="BF16" s="52"/>
      <c r="BG16" s="537"/>
      <c r="BH16" s="537"/>
      <c r="BI16" s="537"/>
      <c r="BJ16" s="537"/>
      <c r="BK16" s="537"/>
      <c r="BL16" s="537"/>
      <c r="BM16" s="537"/>
      <c r="BN16" s="537"/>
      <c r="BO16" s="537"/>
      <c r="BP16" s="537"/>
      <c r="BQ16" s="537"/>
      <c r="BR16" s="52"/>
      <c r="BS16" s="537"/>
      <c r="BT16" s="537"/>
      <c r="BU16" s="537"/>
      <c r="BV16" s="537"/>
      <c r="BW16" s="537"/>
      <c r="BX16" s="537"/>
      <c r="BY16" s="537"/>
      <c r="BZ16" s="537"/>
      <c r="CA16" s="537"/>
      <c r="CC16" s="538"/>
      <c r="CD16" s="538"/>
      <c r="CE16" s="538"/>
      <c r="CF16" s="538"/>
      <c r="CG16" s="538"/>
      <c r="CH16" s="538"/>
      <c r="CI16" s="538"/>
      <c r="CJ16" s="538"/>
    </row>
    <row r="17" spans="15:88" ht="20.100000000000001" customHeight="1" x14ac:dyDescent="0.2">
      <c r="O17" s="539" t="s">
        <v>48</v>
      </c>
      <c r="P17" s="539"/>
      <c r="Q17" s="539"/>
      <c r="R17" s="539"/>
      <c r="S17" s="539"/>
      <c r="T17" s="539"/>
      <c r="U17" s="539"/>
      <c r="V17" s="539"/>
      <c r="W17" s="539"/>
      <c r="X17" s="539"/>
      <c r="Y17" s="539"/>
      <c r="Z17" s="539"/>
      <c r="AA17" s="539"/>
      <c r="AB17" s="539"/>
      <c r="AC17" s="539"/>
      <c r="AE17" s="532" t="s">
        <v>31</v>
      </c>
      <c r="AF17" s="532"/>
      <c r="AG17" s="532"/>
      <c r="AH17" s="532"/>
      <c r="AI17" s="532"/>
      <c r="AJ17" s="532"/>
      <c r="AK17" s="532"/>
      <c r="AL17" s="532"/>
      <c r="AM17" s="532"/>
      <c r="AN17" s="532"/>
      <c r="AO17" s="532"/>
      <c r="AP17" s="532"/>
      <c r="AQ17" s="532"/>
      <c r="AR17" s="532"/>
      <c r="AS17" s="532"/>
      <c r="AU17" s="531">
        <v>141</v>
      </c>
      <c r="AV17" s="531"/>
      <c r="AW17" s="531"/>
      <c r="AX17" s="531"/>
      <c r="AY17" s="531"/>
      <c r="AZ17" s="531"/>
      <c r="BA17" s="531"/>
      <c r="BB17" s="531"/>
      <c r="BC17" s="531"/>
      <c r="BD17" s="531"/>
      <c r="BE17" s="531"/>
      <c r="BF17" s="52"/>
      <c r="BG17" s="531">
        <v>127</v>
      </c>
      <c r="BH17" s="531"/>
      <c r="BI17" s="531"/>
      <c r="BJ17" s="531"/>
      <c r="BK17" s="531"/>
      <c r="BL17" s="531"/>
      <c r="BM17" s="531"/>
      <c r="BN17" s="531"/>
      <c r="BO17" s="531"/>
      <c r="BP17" s="531"/>
      <c r="BQ17" s="531"/>
      <c r="BR17" s="52"/>
      <c r="BS17" s="534">
        <f>SUM(AU17,BG17)</f>
        <v>268</v>
      </c>
      <c r="BT17" s="534"/>
      <c r="BU17" s="534"/>
      <c r="BV17" s="534"/>
      <c r="BW17" s="534"/>
      <c r="BX17" s="534"/>
      <c r="BY17" s="534"/>
      <c r="BZ17" s="534"/>
      <c r="CA17" s="534"/>
      <c r="CC17" s="535">
        <f t="shared" ref="CC17:CC24" si="0">IF(OR(BS17=0,$BS$34=0),0,BS17/$BS$34)</f>
        <v>8.0747213015968669E-2</v>
      </c>
      <c r="CD17" s="535"/>
      <c r="CE17" s="535"/>
      <c r="CF17" s="535"/>
      <c r="CG17" s="535"/>
      <c r="CH17" s="535"/>
      <c r="CI17" s="535"/>
      <c r="CJ17" s="535"/>
    </row>
    <row r="18" spans="15:88" ht="20.100000000000001" customHeight="1" x14ac:dyDescent="0.2">
      <c r="O18" s="539"/>
      <c r="P18" s="539"/>
      <c r="Q18" s="539"/>
      <c r="R18" s="539"/>
      <c r="S18" s="539"/>
      <c r="T18" s="539"/>
      <c r="U18" s="539"/>
      <c r="V18" s="539"/>
      <c r="W18" s="539"/>
      <c r="X18" s="539"/>
      <c r="Y18" s="539"/>
      <c r="Z18" s="539"/>
      <c r="AA18" s="539"/>
      <c r="AB18" s="539"/>
      <c r="AC18" s="539"/>
      <c r="AE18" s="532" t="s">
        <v>32</v>
      </c>
      <c r="AF18" s="532"/>
      <c r="AG18" s="532"/>
      <c r="AH18" s="532"/>
      <c r="AI18" s="532"/>
      <c r="AJ18" s="532"/>
      <c r="AK18" s="532"/>
      <c r="AL18" s="532"/>
      <c r="AM18" s="532"/>
      <c r="AN18" s="532"/>
      <c r="AO18" s="532"/>
      <c r="AP18" s="532"/>
      <c r="AQ18" s="532"/>
      <c r="AR18" s="532"/>
      <c r="AS18" s="532"/>
      <c r="AU18" s="531">
        <v>147</v>
      </c>
      <c r="AV18" s="531"/>
      <c r="AW18" s="531"/>
      <c r="AX18" s="531"/>
      <c r="AY18" s="531"/>
      <c r="AZ18" s="531"/>
      <c r="BA18" s="531"/>
      <c r="BB18" s="531"/>
      <c r="BC18" s="531"/>
      <c r="BD18" s="531"/>
      <c r="BE18" s="531"/>
      <c r="BF18" s="52"/>
      <c r="BG18" s="531">
        <v>119</v>
      </c>
      <c r="BH18" s="531"/>
      <c r="BI18" s="531"/>
      <c r="BJ18" s="531"/>
      <c r="BK18" s="531"/>
      <c r="BL18" s="531"/>
      <c r="BM18" s="531"/>
      <c r="BN18" s="531"/>
      <c r="BO18" s="531"/>
      <c r="BP18" s="531"/>
      <c r="BQ18" s="531"/>
      <c r="BR18" s="52"/>
      <c r="BS18" s="534">
        <f>SUM(AU18,BG18)</f>
        <v>266</v>
      </c>
      <c r="BT18" s="534"/>
      <c r="BU18" s="534"/>
      <c r="BV18" s="534"/>
      <c r="BW18" s="534"/>
      <c r="BX18" s="534"/>
      <c r="BY18" s="534"/>
      <c r="BZ18" s="534"/>
      <c r="CA18" s="534"/>
      <c r="CC18" s="535">
        <f t="shared" si="0"/>
        <v>8.014462187405845E-2</v>
      </c>
      <c r="CD18" s="535"/>
      <c r="CE18" s="535"/>
      <c r="CF18" s="535"/>
      <c r="CG18" s="535"/>
      <c r="CH18" s="535"/>
      <c r="CI18" s="535"/>
      <c r="CJ18" s="535"/>
    </row>
    <row r="19" spans="15:88" ht="20.100000000000001" customHeight="1" x14ac:dyDescent="0.2">
      <c r="O19" s="539"/>
      <c r="P19" s="539"/>
      <c r="Q19" s="539"/>
      <c r="R19" s="539"/>
      <c r="S19" s="539"/>
      <c r="T19" s="539"/>
      <c r="U19" s="539"/>
      <c r="V19" s="539"/>
      <c r="W19" s="539"/>
      <c r="X19" s="539"/>
      <c r="Y19" s="539"/>
      <c r="Z19" s="539"/>
      <c r="AA19" s="539"/>
      <c r="AB19" s="539"/>
      <c r="AC19" s="539"/>
      <c r="AE19" s="532" t="s">
        <v>33</v>
      </c>
      <c r="AF19" s="532"/>
      <c r="AG19" s="532"/>
      <c r="AH19" s="532"/>
      <c r="AI19" s="532"/>
      <c r="AJ19" s="532"/>
      <c r="AK19" s="532"/>
      <c r="AL19" s="532"/>
      <c r="AM19" s="532"/>
      <c r="AN19" s="532"/>
      <c r="AO19" s="532"/>
      <c r="AP19" s="532"/>
      <c r="AQ19" s="532"/>
      <c r="AR19" s="532"/>
      <c r="AS19" s="532"/>
      <c r="AU19" s="531">
        <v>140</v>
      </c>
      <c r="AV19" s="531"/>
      <c r="AW19" s="531"/>
      <c r="AX19" s="531"/>
      <c r="AY19" s="531"/>
      <c r="AZ19" s="531"/>
      <c r="BA19" s="531"/>
      <c r="BB19" s="531"/>
      <c r="BC19" s="531"/>
      <c r="BD19" s="531"/>
      <c r="BE19" s="531"/>
      <c r="BF19" s="52"/>
      <c r="BG19" s="531">
        <v>126</v>
      </c>
      <c r="BH19" s="531"/>
      <c r="BI19" s="531"/>
      <c r="BJ19" s="531"/>
      <c r="BK19" s="531"/>
      <c r="BL19" s="531"/>
      <c r="BM19" s="531"/>
      <c r="BN19" s="531"/>
      <c r="BO19" s="531"/>
      <c r="BP19" s="531"/>
      <c r="BQ19" s="531"/>
      <c r="BR19" s="52"/>
      <c r="BS19" s="534">
        <f t="shared" ref="BS19:BS24" si="1">SUM(AU19,BG19)</f>
        <v>266</v>
      </c>
      <c r="BT19" s="534"/>
      <c r="BU19" s="534"/>
      <c r="BV19" s="534"/>
      <c r="BW19" s="534"/>
      <c r="BX19" s="534"/>
      <c r="BY19" s="534"/>
      <c r="BZ19" s="534"/>
      <c r="CA19" s="534"/>
      <c r="CC19" s="535">
        <f t="shared" si="0"/>
        <v>8.014462187405845E-2</v>
      </c>
      <c r="CD19" s="535"/>
      <c r="CE19" s="535"/>
      <c r="CF19" s="535"/>
      <c r="CG19" s="535"/>
      <c r="CH19" s="535"/>
      <c r="CI19" s="535"/>
      <c r="CJ19" s="535"/>
    </row>
    <row r="20" spans="15:88" ht="20.100000000000001" customHeight="1" x14ac:dyDescent="0.2">
      <c r="O20" s="539"/>
      <c r="P20" s="539"/>
      <c r="Q20" s="539"/>
      <c r="R20" s="539"/>
      <c r="S20" s="539"/>
      <c r="T20" s="539"/>
      <c r="U20" s="539"/>
      <c r="V20" s="539"/>
      <c r="W20" s="539"/>
      <c r="X20" s="539"/>
      <c r="Y20" s="539"/>
      <c r="Z20" s="539"/>
      <c r="AA20" s="539"/>
      <c r="AB20" s="539"/>
      <c r="AC20" s="539"/>
      <c r="AE20" s="532" t="s">
        <v>34</v>
      </c>
      <c r="AF20" s="532"/>
      <c r="AG20" s="532"/>
      <c r="AH20" s="532"/>
      <c r="AI20" s="532"/>
      <c r="AJ20" s="532"/>
      <c r="AK20" s="532"/>
      <c r="AL20" s="532"/>
      <c r="AM20" s="532"/>
      <c r="AN20" s="532"/>
      <c r="AO20" s="532"/>
      <c r="AP20" s="532"/>
      <c r="AQ20" s="532"/>
      <c r="AR20" s="532"/>
      <c r="AS20" s="532"/>
      <c r="AU20" s="531">
        <v>118</v>
      </c>
      <c r="AV20" s="531"/>
      <c r="AW20" s="531"/>
      <c r="AX20" s="531"/>
      <c r="AY20" s="531"/>
      <c r="AZ20" s="531"/>
      <c r="BA20" s="531"/>
      <c r="BB20" s="531"/>
      <c r="BC20" s="531"/>
      <c r="BD20" s="531"/>
      <c r="BE20" s="531"/>
      <c r="BF20" s="52"/>
      <c r="BG20" s="531">
        <v>115</v>
      </c>
      <c r="BH20" s="531"/>
      <c r="BI20" s="531"/>
      <c r="BJ20" s="531"/>
      <c r="BK20" s="531"/>
      <c r="BL20" s="531"/>
      <c r="BM20" s="531"/>
      <c r="BN20" s="531"/>
      <c r="BO20" s="531"/>
      <c r="BP20" s="531"/>
      <c r="BQ20" s="531"/>
      <c r="BR20" s="52"/>
      <c r="BS20" s="534">
        <f t="shared" si="1"/>
        <v>233</v>
      </c>
      <c r="BT20" s="534"/>
      <c r="BU20" s="534"/>
      <c r="BV20" s="534"/>
      <c r="BW20" s="534"/>
      <c r="BX20" s="534"/>
      <c r="BY20" s="534"/>
      <c r="BZ20" s="534"/>
      <c r="CA20" s="534"/>
      <c r="CC20" s="535">
        <f t="shared" si="0"/>
        <v>7.0201868032539916E-2</v>
      </c>
      <c r="CD20" s="535"/>
      <c r="CE20" s="535"/>
      <c r="CF20" s="535"/>
      <c r="CG20" s="535"/>
      <c r="CH20" s="535"/>
      <c r="CI20" s="535"/>
      <c r="CJ20" s="535"/>
    </row>
    <row r="21" spans="15:88" ht="20.100000000000001" customHeight="1" x14ac:dyDescent="0.2">
      <c r="O21" s="539"/>
      <c r="P21" s="539"/>
      <c r="Q21" s="539"/>
      <c r="R21" s="539"/>
      <c r="S21" s="539"/>
      <c r="T21" s="539"/>
      <c r="U21" s="539"/>
      <c r="V21" s="539"/>
      <c r="W21" s="539"/>
      <c r="X21" s="539"/>
      <c r="Y21" s="539"/>
      <c r="Z21" s="539"/>
      <c r="AA21" s="539"/>
      <c r="AB21" s="539"/>
      <c r="AC21" s="539"/>
      <c r="AE21" s="532" t="s">
        <v>35</v>
      </c>
      <c r="AF21" s="532"/>
      <c r="AG21" s="532"/>
      <c r="AH21" s="532"/>
      <c r="AI21" s="532"/>
      <c r="AJ21" s="532"/>
      <c r="AK21" s="532"/>
      <c r="AL21" s="532"/>
      <c r="AM21" s="532"/>
      <c r="AN21" s="532"/>
      <c r="AO21" s="532"/>
      <c r="AP21" s="532"/>
      <c r="AQ21" s="532"/>
      <c r="AR21" s="532"/>
      <c r="AS21" s="532"/>
      <c r="AU21" s="531">
        <v>129</v>
      </c>
      <c r="AV21" s="531"/>
      <c r="AW21" s="531"/>
      <c r="AX21" s="531"/>
      <c r="AY21" s="531"/>
      <c r="AZ21" s="531"/>
      <c r="BA21" s="531"/>
      <c r="BB21" s="531"/>
      <c r="BC21" s="531"/>
      <c r="BD21" s="531"/>
      <c r="BE21" s="531"/>
      <c r="BF21" s="52"/>
      <c r="BG21" s="531">
        <v>101</v>
      </c>
      <c r="BH21" s="531"/>
      <c r="BI21" s="531"/>
      <c r="BJ21" s="531"/>
      <c r="BK21" s="531"/>
      <c r="BL21" s="531"/>
      <c r="BM21" s="531"/>
      <c r="BN21" s="531"/>
      <c r="BO21" s="531"/>
      <c r="BP21" s="531"/>
      <c r="BQ21" s="531"/>
      <c r="BR21" s="52"/>
      <c r="BS21" s="534">
        <f t="shared" si="1"/>
        <v>230</v>
      </c>
      <c r="BT21" s="534"/>
      <c r="BU21" s="534"/>
      <c r="BV21" s="534"/>
      <c r="BW21" s="534"/>
      <c r="BX21" s="534"/>
      <c r="BY21" s="534"/>
      <c r="BZ21" s="534"/>
      <c r="CA21" s="534"/>
      <c r="CC21" s="535">
        <f t="shared" si="0"/>
        <v>6.9297981319674601E-2</v>
      </c>
      <c r="CD21" s="535"/>
      <c r="CE21" s="535"/>
      <c r="CF21" s="535"/>
      <c r="CG21" s="535"/>
      <c r="CH21" s="535"/>
      <c r="CI21" s="535"/>
      <c r="CJ21" s="535"/>
    </row>
    <row r="22" spans="15:88" ht="20.100000000000001" customHeight="1" x14ac:dyDescent="0.2">
      <c r="O22" s="539"/>
      <c r="P22" s="539"/>
      <c r="Q22" s="539"/>
      <c r="R22" s="539"/>
      <c r="S22" s="539"/>
      <c r="T22" s="539"/>
      <c r="U22" s="539"/>
      <c r="V22" s="539"/>
      <c r="W22" s="539"/>
      <c r="X22" s="539"/>
      <c r="Y22" s="539"/>
      <c r="Z22" s="539"/>
      <c r="AA22" s="539"/>
      <c r="AB22" s="539"/>
      <c r="AC22" s="539"/>
      <c r="AE22" s="532" t="s">
        <v>36</v>
      </c>
      <c r="AF22" s="532"/>
      <c r="AG22" s="532"/>
      <c r="AH22" s="532"/>
      <c r="AI22" s="532"/>
      <c r="AJ22" s="532"/>
      <c r="AK22" s="532"/>
      <c r="AL22" s="532"/>
      <c r="AM22" s="532"/>
      <c r="AN22" s="532"/>
      <c r="AO22" s="532"/>
      <c r="AP22" s="532"/>
      <c r="AQ22" s="532"/>
      <c r="AR22" s="532"/>
      <c r="AS22" s="532"/>
      <c r="AU22" s="531">
        <v>99</v>
      </c>
      <c r="AV22" s="531"/>
      <c r="AW22" s="531"/>
      <c r="AX22" s="531"/>
      <c r="AY22" s="531"/>
      <c r="AZ22" s="531"/>
      <c r="BA22" s="531"/>
      <c r="BB22" s="531"/>
      <c r="BC22" s="531"/>
      <c r="BD22" s="531"/>
      <c r="BE22" s="531"/>
      <c r="BF22" s="52"/>
      <c r="BG22" s="531">
        <v>112</v>
      </c>
      <c r="BH22" s="531"/>
      <c r="BI22" s="531"/>
      <c r="BJ22" s="531"/>
      <c r="BK22" s="531"/>
      <c r="BL22" s="531"/>
      <c r="BM22" s="531"/>
      <c r="BN22" s="531"/>
      <c r="BO22" s="531"/>
      <c r="BP22" s="531"/>
      <c r="BQ22" s="531"/>
      <c r="BR22" s="52"/>
      <c r="BS22" s="534">
        <f t="shared" si="1"/>
        <v>211</v>
      </c>
      <c r="BT22" s="534"/>
      <c r="BU22" s="534"/>
      <c r="BV22" s="534"/>
      <c r="BW22" s="534"/>
      <c r="BX22" s="534"/>
      <c r="BY22" s="534"/>
      <c r="BZ22" s="534"/>
      <c r="CA22" s="534"/>
      <c r="CC22" s="535">
        <f t="shared" si="0"/>
        <v>6.3573365471527574E-2</v>
      </c>
      <c r="CD22" s="535"/>
      <c r="CE22" s="535"/>
      <c r="CF22" s="535"/>
      <c r="CG22" s="535"/>
      <c r="CH22" s="535"/>
      <c r="CI22" s="535"/>
      <c r="CJ22" s="535"/>
    </row>
    <row r="23" spans="15:88" ht="20.100000000000001" customHeight="1" x14ac:dyDescent="0.2">
      <c r="O23" s="539"/>
      <c r="P23" s="539"/>
      <c r="Q23" s="539"/>
      <c r="R23" s="539"/>
      <c r="S23" s="539"/>
      <c r="T23" s="539"/>
      <c r="U23" s="539"/>
      <c r="V23" s="539"/>
      <c r="W23" s="539"/>
      <c r="X23" s="539"/>
      <c r="Y23" s="539"/>
      <c r="Z23" s="539"/>
      <c r="AA23" s="539"/>
      <c r="AB23" s="539"/>
      <c r="AC23" s="539"/>
      <c r="AE23" s="532" t="s">
        <v>37</v>
      </c>
      <c r="AF23" s="532"/>
      <c r="AG23" s="532"/>
      <c r="AH23" s="532"/>
      <c r="AI23" s="532"/>
      <c r="AJ23" s="532"/>
      <c r="AK23" s="532"/>
      <c r="AL23" s="532"/>
      <c r="AM23" s="532"/>
      <c r="AN23" s="532"/>
      <c r="AO23" s="532"/>
      <c r="AP23" s="532"/>
      <c r="AQ23" s="532"/>
      <c r="AR23" s="532"/>
      <c r="AS23" s="532"/>
      <c r="AU23" s="531">
        <v>122</v>
      </c>
      <c r="AV23" s="531"/>
      <c r="AW23" s="531"/>
      <c r="AX23" s="531"/>
      <c r="AY23" s="531"/>
      <c r="AZ23" s="531"/>
      <c r="BA23" s="531"/>
      <c r="BB23" s="531"/>
      <c r="BC23" s="531"/>
      <c r="BD23" s="531"/>
      <c r="BE23" s="531"/>
      <c r="BF23" s="52"/>
      <c r="BG23" s="531">
        <v>114</v>
      </c>
      <c r="BH23" s="531"/>
      <c r="BI23" s="531"/>
      <c r="BJ23" s="531"/>
      <c r="BK23" s="531"/>
      <c r="BL23" s="531"/>
      <c r="BM23" s="531"/>
      <c r="BN23" s="531"/>
      <c r="BO23" s="531"/>
      <c r="BP23" s="531"/>
      <c r="BQ23" s="531"/>
      <c r="BR23" s="52"/>
      <c r="BS23" s="534">
        <f t="shared" si="1"/>
        <v>236</v>
      </c>
      <c r="BT23" s="534"/>
      <c r="BU23" s="534"/>
      <c r="BV23" s="534"/>
      <c r="BW23" s="534"/>
      <c r="BX23" s="534"/>
      <c r="BY23" s="534"/>
      <c r="BZ23" s="534"/>
      <c r="CA23" s="534"/>
      <c r="CC23" s="535">
        <f t="shared" si="0"/>
        <v>7.1105754745405245E-2</v>
      </c>
      <c r="CD23" s="535"/>
      <c r="CE23" s="535"/>
      <c r="CF23" s="535"/>
      <c r="CG23" s="535"/>
      <c r="CH23" s="535"/>
      <c r="CI23" s="535"/>
      <c r="CJ23" s="535"/>
    </row>
    <row r="24" spans="15:88" ht="20.100000000000001" customHeight="1" x14ac:dyDescent="0.2">
      <c r="O24" s="539"/>
      <c r="P24" s="539"/>
      <c r="Q24" s="539"/>
      <c r="R24" s="539"/>
      <c r="S24" s="539"/>
      <c r="T24" s="539"/>
      <c r="U24" s="539"/>
      <c r="V24" s="539"/>
      <c r="W24" s="539"/>
      <c r="X24" s="539"/>
      <c r="Y24" s="539"/>
      <c r="Z24" s="539"/>
      <c r="AA24" s="539"/>
      <c r="AB24" s="539"/>
      <c r="AC24" s="539"/>
      <c r="AE24" s="532" t="s">
        <v>38</v>
      </c>
      <c r="AF24" s="532"/>
      <c r="AG24" s="532"/>
      <c r="AH24" s="532"/>
      <c r="AI24" s="532"/>
      <c r="AJ24" s="532"/>
      <c r="AK24" s="532"/>
      <c r="AL24" s="532"/>
      <c r="AM24" s="532"/>
      <c r="AN24" s="532"/>
      <c r="AO24" s="532"/>
      <c r="AP24" s="532"/>
      <c r="AQ24" s="532"/>
      <c r="AR24" s="532"/>
      <c r="AS24" s="532"/>
      <c r="AU24" s="531">
        <v>128</v>
      </c>
      <c r="AV24" s="531"/>
      <c r="AW24" s="531"/>
      <c r="AX24" s="531"/>
      <c r="AY24" s="531"/>
      <c r="AZ24" s="531"/>
      <c r="BA24" s="531"/>
      <c r="BB24" s="531"/>
      <c r="BC24" s="531"/>
      <c r="BD24" s="531"/>
      <c r="BE24" s="531"/>
      <c r="BF24" s="52"/>
      <c r="BG24" s="531">
        <v>122</v>
      </c>
      <c r="BH24" s="531"/>
      <c r="BI24" s="531"/>
      <c r="BJ24" s="531"/>
      <c r="BK24" s="531"/>
      <c r="BL24" s="531"/>
      <c r="BM24" s="531"/>
      <c r="BN24" s="531"/>
      <c r="BO24" s="531"/>
      <c r="BP24" s="531"/>
      <c r="BQ24" s="531"/>
      <c r="BR24" s="52"/>
      <c r="BS24" s="534">
        <f t="shared" si="1"/>
        <v>250</v>
      </c>
      <c r="BT24" s="534"/>
      <c r="BU24" s="534"/>
      <c r="BV24" s="534"/>
      <c r="BW24" s="534"/>
      <c r="BX24" s="534"/>
      <c r="BY24" s="534"/>
      <c r="BZ24" s="534"/>
      <c r="CA24" s="534"/>
      <c r="CC24" s="535">
        <f t="shared" si="0"/>
        <v>7.5323892738776738E-2</v>
      </c>
      <c r="CD24" s="535"/>
      <c r="CE24" s="535"/>
      <c r="CF24" s="535"/>
      <c r="CG24" s="535"/>
      <c r="CH24" s="535"/>
      <c r="CI24" s="535"/>
      <c r="CJ24" s="535"/>
    </row>
    <row r="25" spans="15:88" ht="20.100000000000001" customHeight="1" x14ac:dyDescent="0.2">
      <c r="O25" s="539"/>
      <c r="P25" s="539"/>
      <c r="Q25" s="539"/>
      <c r="R25" s="539"/>
      <c r="S25" s="539"/>
      <c r="T25" s="539"/>
      <c r="U25" s="539"/>
      <c r="V25" s="539"/>
      <c r="W25" s="539"/>
      <c r="X25" s="539"/>
      <c r="Y25" s="539"/>
      <c r="Z25" s="539"/>
      <c r="AA25" s="539"/>
      <c r="AB25" s="539"/>
      <c r="AC25" s="539"/>
      <c r="AE25" s="533" t="s">
        <v>54</v>
      </c>
      <c r="AF25" s="533"/>
      <c r="AG25" s="533"/>
      <c r="AH25" s="533"/>
      <c r="AI25" s="533"/>
      <c r="AJ25" s="533"/>
      <c r="AK25" s="533"/>
      <c r="AL25" s="533"/>
      <c r="AM25" s="533"/>
      <c r="AN25" s="533"/>
      <c r="AO25" s="533"/>
      <c r="AP25" s="533"/>
      <c r="AQ25" s="533"/>
      <c r="AR25" s="533"/>
      <c r="AS25" s="533"/>
      <c r="AT25" s="50"/>
      <c r="AU25" s="536">
        <f>SUM(AU17:BE24)</f>
        <v>1024</v>
      </c>
      <c r="AV25" s="536"/>
      <c r="AW25" s="536"/>
      <c r="AX25" s="536"/>
      <c r="AY25" s="536"/>
      <c r="AZ25" s="536"/>
      <c r="BA25" s="536"/>
      <c r="BB25" s="536"/>
      <c r="BC25" s="536"/>
      <c r="BD25" s="536"/>
      <c r="BE25" s="536"/>
      <c r="BF25" s="55"/>
      <c r="BG25" s="536">
        <f>SUM(BG17:BQ24)</f>
        <v>936</v>
      </c>
      <c r="BH25" s="536"/>
      <c r="BI25" s="536"/>
      <c r="BJ25" s="536"/>
      <c r="BK25" s="536"/>
      <c r="BL25" s="536"/>
      <c r="BM25" s="536"/>
      <c r="BN25" s="536"/>
      <c r="BO25" s="536"/>
      <c r="BP25" s="536"/>
      <c r="BQ25" s="536"/>
      <c r="BR25" s="55"/>
      <c r="BS25" s="536">
        <f>SUM(BS17:CA24)</f>
        <v>1960</v>
      </c>
      <c r="BT25" s="536"/>
      <c r="BU25" s="536"/>
      <c r="BV25" s="536"/>
      <c r="BW25" s="536"/>
      <c r="BX25" s="536"/>
      <c r="BY25" s="536"/>
      <c r="BZ25" s="536"/>
      <c r="CA25" s="536"/>
      <c r="CB25" s="50"/>
      <c r="CC25" s="535">
        <f>IF(OR(BS25=0,$BS$34=0),0,BS25/$BS$34)</f>
        <v>0.59053931907200963</v>
      </c>
      <c r="CD25" s="535"/>
      <c r="CE25" s="535"/>
      <c r="CF25" s="535"/>
      <c r="CG25" s="535"/>
      <c r="CH25" s="535"/>
      <c r="CI25" s="535"/>
      <c r="CJ25" s="535"/>
    </row>
    <row r="26" spans="15:88" ht="7.5" customHeight="1" x14ac:dyDescent="0.2">
      <c r="AE26" s="547"/>
      <c r="AF26" s="547"/>
      <c r="AG26" s="547"/>
      <c r="AH26" s="547"/>
      <c r="AI26" s="547"/>
      <c r="AJ26" s="547"/>
      <c r="AK26" s="547"/>
      <c r="AL26" s="547"/>
      <c r="AM26" s="547"/>
      <c r="AN26" s="547"/>
      <c r="AO26" s="547"/>
      <c r="AP26" s="547"/>
      <c r="AQ26" s="547"/>
      <c r="AR26" s="547"/>
      <c r="AS26" s="547"/>
      <c r="AU26" s="537"/>
      <c r="AV26" s="537"/>
      <c r="AW26" s="537"/>
      <c r="AX26" s="537"/>
      <c r="AY26" s="537"/>
      <c r="AZ26" s="537"/>
      <c r="BA26" s="537"/>
      <c r="BB26" s="537"/>
      <c r="BC26" s="537"/>
      <c r="BD26" s="537"/>
      <c r="BE26" s="537"/>
      <c r="BF26" s="52"/>
      <c r="BG26" s="537"/>
      <c r="BH26" s="537"/>
      <c r="BI26" s="537"/>
      <c r="BJ26" s="537"/>
      <c r="BK26" s="537"/>
      <c r="BL26" s="537"/>
      <c r="BM26" s="537"/>
      <c r="BN26" s="537"/>
      <c r="BO26" s="537"/>
      <c r="BP26" s="537"/>
      <c r="BQ26" s="537"/>
      <c r="BR26" s="52"/>
      <c r="BS26" s="537"/>
      <c r="BT26" s="537"/>
      <c r="BU26" s="537"/>
      <c r="BV26" s="537"/>
      <c r="BW26" s="537"/>
      <c r="BX26" s="537"/>
      <c r="BY26" s="537"/>
      <c r="BZ26" s="537"/>
      <c r="CA26" s="537"/>
      <c r="CC26" s="538"/>
      <c r="CD26" s="538"/>
      <c r="CE26" s="538"/>
      <c r="CF26" s="538"/>
      <c r="CG26" s="538"/>
      <c r="CH26" s="538"/>
      <c r="CI26" s="538"/>
      <c r="CJ26" s="538"/>
    </row>
    <row r="27" spans="15:88" ht="20.100000000000001" customHeight="1" x14ac:dyDescent="0.2">
      <c r="O27" s="539" t="s">
        <v>46</v>
      </c>
      <c r="P27" s="539"/>
      <c r="Q27" s="539"/>
      <c r="R27" s="539"/>
      <c r="S27" s="539"/>
      <c r="T27" s="539"/>
      <c r="U27" s="539"/>
      <c r="V27" s="539"/>
      <c r="W27" s="539"/>
      <c r="X27" s="539"/>
      <c r="Y27" s="539"/>
      <c r="Z27" s="539"/>
      <c r="AA27" s="539"/>
      <c r="AB27" s="539"/>
      <c r="AC27" s="539"/>
      <c r="AE27" s="532" t="s">
        <v>39</v>
      </c>
      <c r="AF27" s="532"/>
      <c r="AG27" s="532"/>
      <c r="AH27" s="532"/>
      <c r="AI27" s="532"/>
      <c r="AJ27" s="532"/>
      <c r="AK27" s="532"/>
      <c r="AL27" s="532"/>
      <c r="AM27" s="532"/>
      <c r="AN27" s="532"/>
      <c r="AO27" s="532"/>
      <c r="AP27" s="532"/>
      <c r="AQ27" s="532"/>
      <c r="AR27" s="532"/>
      <c r="AS27" s="532"/>
      <c r="AU27" s="531">
        <v>25</v>
      </c>
      <c r="AV27" s="531"/>
      <c r="AW27" s="531"/>
      <c r="AX27" s="531"/>
      <c r="AY27" s="531"/>
      <c r="AZ27" s="531"/>
      <c r="BA27" s="531"/>
      <c r="BB27" s="531"/>
      <c r="BC27" s="531"/>
      <c r="BD27" s="531"/>
      <c r="BE27" s="531"/>
      <c r="BF27" s="52"/>
      <c r="BG27" s="531">
        <v>25</v>
      </c>
      <c r="BH27" s="531"/>
      <c r="BI27" s="531"/>
      <c r="BJ27" s="531"/>
      <c r="BK27" s="531"/>
      <c r="BL27" s="531"/>
      <c r="BM27" s="531"/>
      <c r="BN27" s="531"/>
      <c r="BO27" s="531"/>
      <c r="BP27" s="531"/>
      <c r="BQ27" s="531"/>
      <c r="BR27" s="52"/>
      <c r="BS27" s="534">
        <f>SUM(AU27,BG27)</f>
        <v>50</v>
      </c>
      <c r="BT27" s="534"/>
      <c r="BU27" s="534"/>
      <c r="BV27" s="534"/>
      <c r="BW27" s="534"/>
      <c r="BX27" s="534"/>
      <c r="BY27" s="534"/>
      <c r="BZ27" s="534"/>
      <c r="CA27" s="534"/>
      <c r="CC27" s="535">
        <f t="shared" ref="CC27:CC32" si="2">IF(OR(BS27=0,$BS$34=0),0,BS27/$BS$34)</f>
        <v>1.5064778547755347E-2</v>
      </c>
      <c r="CD27" s="535"/>
      <c r="CE27" s="535"/>
      <c r="CF27" s="535"/>
      <c r="CG27" s="535"/>
      <c r="CH27" s="535"/>
      <c r="CI27" s="535"/>
      <c r="CJ27" s="535"/>
    </row>
    <row r="28" spans="15:88" ht="20.100000000000001" customHeight="1" x14ac:dyDescent="0.2">
      <c r="O28" s="539"/>
      <c r="P28" s="539"/>
      <c r="Q28" s="539"/>
      <c r="R28" s="539"/>
      <c r="S28" s="539"/>
      <c r="T28" s="539"/>
      <c r="U28" s="539"/>
      <c r="V28" s="539"/>
      <c r="W28" s="539"/>
      <c r="X28" s="539"/>
      <c r="Y28" s="539"/>
      <c r="Z28" s="539"/>
      <c r="AA28" s="539"/>
      <c r="AB28" s="539"/>
      <c r="AC28" s="539"/>
      <c r="AE28" s="532" t="s">
        <v>40</v>
      </c>
      <c r="AF28" s="532"/>
      <c r="AG28" s="532"/>
      <c r="AH28" s="532"/>
      <c r="AI28" s="532"/>
      <c r="AJ28" s="532"/>
      <c r="AK28" s="532"/>
      <c r="AL28" s="532"/>
      <c r="AM28" s="532"/>
      <c r="AN28" s="532"/>
      <c r="AO28" s="532"/>
      <c r="AP28" s="532"/>
      <c r="AQ28" s="532"/>
      <c r="AR28" s="532"/>
      <c r="AS28" s="532"/>
      <c r="AU28" s="531">
        <v>18</v>
      </c>
      <c r="AV28" s="531"/>
      <c r="AW28" s="531"/>
      <c r="AX28" s="531"/>
      <c r="AY28" s="531"/>
      <c r="AZ28" s="531"/>
      <c r="BA28" s="531"/>
      <c r="BB28" s="531"/>
      <c r="BC28" s="531"/>
      <c r="BD28" s="531"/>
      <c r="BE28" s="531"/>
      <c r="BF28" s="52"/>
      <c r="BG28" s="531">
        <v>16</v>
      </c>
      <c r="BH28" s="531"/>
      <c r="BI28" s="531"/>
      <c r="BJ28" s="531"/>
      <c r="BK28" s="531"/>
      <c r="BL28" s="531"/>
      <c r="BM28" s="531"/>
      <c r="BN28" s="531"/>
      <c r="BO28" s="531"/>
      <c r="BP28" s="531"/>
      <c r="BQ28" s="531"/>
      <c r="BR28" s="52"/>
      <c r="BS28" s="534">
        <f>SUM(AU28,BG28)</f>
        <v>34</v>
      </c>
      <c r="BT28" s="534"/>
      <c r="BU28" s="534"/>
      <c r="BV28" s="534"/>
      <c r="BW28" s="534"/>
      <c r="BX28" s="534"/>
      <c r="BY28" s="534"/>
      <c r="BZ28" s="534"/>
      <c r="CA28" s="534"/>
      <c r="CC28" s="535">
        <f t="shared" si="2"/>
        <v>1.0244049412473637E-2</v>
      </c>
      <c r="CD28" s="535"/>
      <c r="CE28" s="535"/>
      <c r="CF28" s="535"/>
      <c r="CG28" s="535"/>
      <c r="CH28" s="535"/>
      <c r="CI28" s="535"/>
      <c r="CJ28" s="535"/>
    </row>
    <row r="29" spans="15:88" ht="20.100000000000001" customHeight="1" x14ac:dyDescent="0.2">
      <c r="O29" s="539"/>
      <c r="P29" s="539"/>
      <c r="Q29" s="539"/>
      <c r="R29" s="539"/>
      <c r="S29" s="539"/>
      <c r="T29" s="539"/>
      <c r="U29" s="539"/>
      <c r="V29" s="539"/>
      <c r="W29" s="539"/>
      <c r="X29" s="539"/>
      <c r="Y29" s="539"/>
      <c r="Z29" s="539"/>
      <c r="AA29" s="539"/>
      <c r="AB29" s="539"/>
      <c r="AC29" s="539"/>
      <c r="AE29" s="532" t="s">
        <v>41</v>
      </c>
      <c r="AF29" s="532"/>
      <c r="AG29" s="532"/>
      <c r="AH29" s="532"/>
      <c r="AI29" s="532"/>
      <c r="AJ29" s="532"/>
      <c r="AK29" s="532"/>
      <c r="AL29" s="532"/>
      <c r="AM29" s="532"/>
      <c r="AN29" s="532"/>
      <c r="AO29" s="532"/>
      <c r="AP29" s="532"/>
      <c r="AQ29" s="532"/>
      <c r="AR29" s="532"/>
      <c r="AS29" s="532"/>
      <c r="AU29" s="531">
        <v>22</v>
      </c>
      <c r="AV29" s="531"/>
      <c r="AW29" s="531"/>
      <c r="AX29" s="531"/>
      <c r="AY29" s="531"/>
      <c r="AZ29" s="531"/>
      <c r="BA29" s="531"/>
      <c r="BB29" s="531"/>
      <c r="BC29" s="531"/>
      <c r="BD29" s="531"/>
      <c r="BE29" s="531"/>
      <c r="BF29" s="52"/>
      <c r="BG29" s="531">
        <v>15</v>
      </c>
      <c r="BH29" s="531"/>
      <c r="BI29" s="531"/>
      <c r="BJ29" s="531"/>
      <c r="BK29" s="531"/>
      <c r="BL29" s="531"/>
      <c r="BM29" s="531"/>
      <c r="BN29" s="531"/>
      <c r="BO29" s="531"/>
      <c r="BP29" s="531"/>
      <c r="BQ29" s="531"/>
      <c r="BR29" s="52"/>
      <c r="BS29" s="534">
        <f>SUM(AU29,BG29)</f>
        <v>37</v>
      </c>
      <c r="BT29" s="534"/>
      <c r="BU29" s="534"/>
      <c r="BV29" s="534"/>
      <c r="BW29" s="534"/>
      <c r="BX29" s="534"/>
      <c r="BY29" s="534"/>
      <c r="BZ29" s="534"/>
      <c r="CA29" s="534"/>
      <c r="CC29" s="535">
        <f t="shared" si="2"/>
        <v>1.1147936125338957E-2</v>
      </c>
      <c r="CD29" s="535"/>
      <c r="CE29" s="535"/>
      <c r="CF29" s="535"/>
      <c r="CG29" s="535"/>
      <c r="CH29" s="535"/>
      <c r="CI29" s="535"/>
      <c r="CJ29" s="535"/>
    </row>
    <row r="30" spans="15:88" ht="20.100000000000001" customHeight="1" x14ac:dyDescent="0.2">
      <c r="O30" s="539"/>
      <c r="P30" s="539"/>
      <c r="Q30" s="539"/>
      <c r="R30" s="539"/>
      <c r="S30" s="539"/>
      <c r="T30" s="539"/>
      <c r="U30" s="539"/>
      <c r="V30" s="539"/>
      <c r="W30" s="539"/>
      <c r="X30" s="539"/>
      <c r="Y30" s="539"/>
      <c r="Z30" s="539"/>
      <c r="AA30" s="539"/>
      <c r="AB30" s="539"/>
      <c r="AC30" s="539"/>
      <c r="AE30" s="532" t="s">
        <v>42</v>
      </c>
      <c r="AF30" s="532"/>
      <c r="AG30" s="532"/>
      <c r="AH30" s="532"/>
      <c r="AI30" s="532"/>
      <c r="AJ30" s="532"/>
      <c r="AK30" s="532"/>
      <c r="AL30" s="532"/>
      <c r="AM30" s="532"/>
      <c r="AN30" s="532"/>
      <c r="AO30" s="532"/>
      <c r="AP30" s="532"/>
      <c r="AQ30" s="532"/>
      <c r="AR30" s="532"/>
      <c r="AS30" s="532"/>
      <c r="AU30" s="531">
        <v>10</v>
      </c>
      <c r="AV30" s="531"/>
      <c r="AW30" s="531"/>
      <c r="AX30" s="531"/>
      <c r="AY30" s="531"/>
      <c r="AZ30" s="531"/>
      <c r="BA30" s="531"/>
      <c r="BB30" s="531"/>
      <c r="BC30" s="531"/>
      <c r="BD30" s="531"/>
      <c r="BE30" s="531"/>
      <c r="BF30" s="52"/>
      <c r="BG30" s="531">
        <v>5</v>
      </c>
      <c r="BH30" s="531"/>
      <c r="BI30" s="531"/>
      <c r="BJ30" s="531"/>
      <c r="BK30" s="531"/>
      <c r="BL30" s="531"/>
      <c r="BM30" s="531"/>
      <c r="BN30" s="531"/>
      <c r="BO30" s="531"/>
      <c r="BP30" s="531"/>
      <c r="BQ30" s="531"/>
      <c r="BR30" s="52"/>
      <c r="BS30" s="534">
        <f>SUM(AU30,BG30)</f>
        <v>15</v>
      </c>
      <c r="BT30" s="534"/>
      <c r="BU30" s="534"/>
      <c r="BV30" s="534"/>
      <c r="BW30" s="534"/>
      <c r="BX30" s="534"/>
      <c r="BY30" s="534"/>
      <c r="BZ30" s="534"/>
      <c r="CA30" s="534"/>
      <c r="CC30" s="535">
        <f t="shared" si="2"/>
        <v>4.5194335643266043E-3</v>
      </c>
      <c r="CD30" s="535"/>
      <c r="CE30" s="535"/>
      <c r="CF30" s="535"/>
      <c r="CG30" s="535"/>
      <c r="CH30" s="535"/>
      <c r="CI30" s="535"/>
      <c r="CJ30" s="535"/>
    </row>
    <row r="31" spans="15:88" ht="20.100000000000001" customHeight="1" x14ac:dyDescent="0.2">
      <c r="O31" s="539"/>
      <c r="P31" s="539"/>
      <c r="Q31" s="539"/>
      <c r="R31" s="539"/>
      <c r="S31" s="539"/>
      <c r="T31" s="539"/>
      <c r="U31" s="539"/>
      <c r="V31" s="539"/>
      <c r="W31" s="539"/>
      <c r="X31" s="539"/>
      <c r="Y31" s="539"/>
      <c r="Z31" s="539"/>
      <c r="AA31" s="539"/>
      <c r="AB31" s="539"/>
      <c r="AC31" s="539"/>
      <c r="AE31" s="532" t="s">
        <v>43</v>
      </c>
      <c r="AF31" s="532"/>
      <c r="AG31" s="532"/>
      <c r="AH31" s="532"/>
      <c r="AI31" s="532"/>
      <c r="AJ31" s="532"/>
      <c r="AK31" s="532"/>
      <c r="AL31" s="532"/>
      <c r="AM31" s="532"/>
      <c r="AN31" s="532"/>
      <c r="AO31" s="532"/>
      <c r="AP31" s="532"/>
      <c r="AQ31" s="532"/>
      <c r="AR31" s="532"/>
      <c r="AS31" s="532"/>
      <c r="AU31" s="531">
        <v>3</v>
      </c>
      <c r="AV31" s="531"/>
      <c r="AW31" s="531"/>
      <c r="AX31" s="531"/>
      <c r="AY31" s="531"/>
      <c r="AZ31" s="531"/>
      <c r="BA31" s="531"/>
      <c r="BB31" s="531"/>
      <c r="BC31" s="531"/>
      <c r="BD31" s="531"/>
      <c r="BE31" s="531"/>
      <c r="BF31" s="52"/>
      <c r="BG31" s="531">
        <v>1</v>
      </c>
      <c r="BH31" s="531"/>
      <c r="BI31" s="531"/>
      <c r="BJ31" s="531"/>
      <c r="BK31" s="531"/>
      <c r="BL31" s="531"/>
      <c r="BM31" s="531"/>
      <c r="BN31" s="531"/>
      <c r="BO31" s="531"/>
      <c r="BP31" s="531"/>
      <c r="BQ31" s="531"/>
      <c r="BR31" s="52"/>
      <c r="BS31" s="534">
        <f>SUM(AU31,BG31)</f>
        <v>4</v>
      </c>
      <c r="BT31" s="534"/>
      <c r="BU31" s="534"/>
      <c r="BV31" s="534"/>
      <c r="BW31" s="534"/>
      <c r="BX31" s="534"/>
      <c r="BY31" s="534"/>
      <c r="BZ31" s="534"/>
      <c r="CA31" s="534"/>
      <c r="CC31" s="535">
        <f t="shared" si="2"/>
        <v>1.2051822838204278E-3</v>
      </c>
      <c r="CD31" s="535"/>
      <c r="CE31" s="535"/>
      <c r="CF31" s="535"/>
      <c r="CG31" s="535"/>
      <c r="CH31" s="535"/>
      <c r="CI31" s="535"/>
      <c r="CJ31" s="535"/>
    </row>
    <row r="32" spans="15:88" ht="20.100000000000001" customHeight="1" x14ac:dyDescent="0.2">
      <c r="O32" s="539"/>
      <c r="P32" s="539"/>
      <c r="Q32" s="539"/>
      <c r="R32" s="539"/>
      <c r="S32" s="539"/>
      <c r="T32" s="539"/>
      <c r="U32" s="539"/>
      <c r="V32" s="539"/>
      <c r="W32" s="539"/>
      <c r="X32" s="539"/>
      <c r="Y32" s="539"/>
      <c r="Z32" s="539"/>
      <c r="AA32" s="539"/>
      <c r="AB32" s="539"/>
      <c r="AC32" s="539"/>
      <c r="AE32" s="533" t="s">
        <v>55</v>
      </c>
      <c r="AF32" s="533"/>
      <c r="AG32" s="533"/>
      <c r="AH32" s="533"/>
      <c r="AI32" s="533"/>
      <c r="AJ32" s="533"/>
      <c r="AK32" s="533"/>
      <c r="AL32" s="533"/>
      <c r="AM32" s="533"/>
      <c r="AN32" s="533"/>
      <c r="AO32" s="533"/>
      <c r="AP32" s="533"/>
      <c r="AQ32" s="533"/>
      <c r="AR32" s="533"/>
      <c r="AS32" s="533"/>
      <c r="AT32" s="50"/>
      <c r="AU32" s="536">
        <f>SUM(AU27:BE31)</f>
        <v>78</v>
      </c>
      <c r="AV32" s="536"/>
      <c r="AW32" s="536"/>
      <c r="AX32" s="536"/>
      <c r="AY32" s="536"/>
      <c r="AZ32" s="536"/>
      <c r="BA32" s="536"/>
      <c r="BB32" s="536"/>
      <c r="BC32" s="536"/>
      <c r="BD32" s="536"/>
      <c r="BE32" s="536"/>
      <c r="BF32" s="55"/>
      <c r="BG32" s="536">
        <f>SUM(BG27:BQ31)</f>
        <v>62</v>
      </c>
      <c r="BH32" s="536"/>
      <c r="BI32" s="536"/>
      <c r="BJ32" s="536"/>
      <c r="BK32" s="536"/>
      <c r="BL32" s="536"/>
      <c r="BM32" s="536"/>
      <c r="BN32" s="536"/>
      <c r="BO32" s="536"/>
      <c r="BP32" s="536"/>
      <c r="BQ32" s="536"/>
      <c r="BR32" s="55"/>
      <c r="BS32" s="536">
        <f>SUM(BS27:CA31)</f>
        <v>140</v>
      </c>
      <c r="BT32" s="536"/>
      <c r="BU32" s="536"/>
      <c r="BV32" s="536"/>
      <c r="BW32" s="536"/>
      <c r="BX32" s="536"/>
      <c r="BY32" s="536"/>
      <c r="BZ32" s="536"/>
      <c r="CA32" s="536"/>
      <c r="CB32" s="50"/>
      <c r="CC32" s="535">
        <f t="shared" si="2"/>
        <v>4.2181379933714971E-2</v>
      </c>
      <c r="CD32" s="535"/>
      <c r="CE32" s="535"/>
      <c r="CF32" s="535"/>
      <c r="CG32" s="535"/>
      <c r="CH32" s="535"/>
      <c r="CI32" s="535"/>
      <c r="CJ32" s="535"/>
    </row>
    <row r="33" spans="15:88" ht="7.5" customHeight="1" x14ac:dyDescent="0.2"/>
    <row r="34" spans="15:88" ht="30" customHeight="1" x14ac:dyDescent="0.2">
      <c r="O34" s="539" t="s">
        <v>4</v>
      </c>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539"/>
      <c r="AS34" s="539"/>
      <c r="AT34" s="50"/>
      <c r="AU34" s="536">
        <f>SUM(AU32,AU25,AU15,AU11)</f>
        <v>1869</v>
      </c>
      <c r="AV34" s="536"/>
      <c r="AW34" s="536"/>
      <c r="AX34" s="536"/>
      <c r="AY34" s="536"/>
      <c r="AZ34" s="536"/>
      <c r="BA34" s="536"/>
      <c r="BB34" s="536"/>
      <c r="BC34" s="536"/>
      <c r="BD34" s="536"/>
      <c r="BE34" s="536"/>
      <c r="BF34" s="55"/>
      <c r="BG34" s="536">
        <f>SUM(BG32,BG25,BG15,BG11)</f>
        <v>1450</v>
      </c>
      <c r="BH34" s="536"/>
      <c r="BI34" s="536"/>
      <c r="BJ34" s="536"/>
      <c r="BK34" s="536"/>
      <c r="BL34" s="536"/>
      <c r="BM34" s="536"/>
      <c r="BN34" s="536"/>
      <c r="BO34" s="536"/>
      <c r="BP34" s="536"/>
      <c r="BQ34" s="536"/>
      <c r="BR34" s="55"/>
      <c r="BS34" s="536">
        <f>SUM(BS32,BS25,BS15,BS11)</f>
        <v>3319</v>
      </c>
      <c r="BT34" s="536"/>
      <c r="BU34" s="536"/>
      <c r="BV34" s="536"/>
      <c r="BW34" s="536"/>
      <c r="BX34" s="536"/>
      <c r="BY34" s="536"/>
      <c r="BZ34" s="536"/>
      <c r="CA34" s="536"/>
      <c r="CB34" s="56"/>
      <c r="CC34" s="564">
        <f>SUM(CC32,CC25,CC15,CC11)</f>
        <v>1</v>
      </c>
      <c r="CD34" s="564"/>
      <c r="CE34" s="564"/>
      <c r="CF34" s="564"/>
      <c r="CG34" s="564"/>
      <c r="CH34" s="564"/>
      <c r="CI34" s="564"/>
      <c r="CJ34" s="564"/>
    </row>
    <row r="37" spans="15:88" x14ac:dyDescent="0.2">
      <c r="O37" s="556" t="s">
        <v>64</v>
      </c>
      <c r="P37" s="556"/>
      <c r="Q37" s="556"/>
      <c r="R37" s="556"/>
      <c r="S37" s="556"/>
      <c r="T37" s="556"/>
      <c r="U37" s="556"/>
      <c r="V37" s="556"/>
      <c r="W37" s="556"/>
      <c r="X37" s="556"/>
      <c r="Y37" s="556"/>
      <c r="Z37" s="556"/>
      <c r="AA37" s="556"/>
      <c r="AB37" s="556"/>
      <c r="AC37" s="556"/>
      <c r="AD37" s="556"/>
      <c r="AE37" s="556"/>
      <c r="AF37" s="556"/>
      <c r="AG37" s="556"/>
      <c r="AH37" s="556"/>
      <c r="AI37" s="556"/>
      <c r="AJ37" s="556"/>
      <c r="AK37" s="556"/>
      <c r="AL37" s="556"/>
      <c r="AM37" s="556"/>
      <c r="AN37" s="556"/>
      <c r="AO37" s="556"/>
      <c r="AP37" s="556"/>
      <c r="AQ37" s="556"/>
      <c r="AR37" s="556"/>
      <c r="AS37" s="556"/>
      <c r="AT37" s="556"/>
      <c r="AU37" s="556"/>
      <c r="AV37" s="556"/>
      <c r="AW37" s="556"/>
      <c r="AX37" s="556"/>
      <c r="AY37" s="556"/>
      <c r="AZ37" s="556"/>
      <c r="BA37" s="556"/>
      <c r="BB37" s="556"/>
      <c r="BC37" s="556"/>
      <c r="BD37" s="556"/>
      <c r="BE37" s="556"/>
      <c r="BF37" s="556"/>
      <c r="BG37" s="556"/>
      <c r="BH37" s="556"/>
      <c r="BI37" s="556"/>
      <c r="BJ37" s="556"/>
      <c r="BK37" s="556"/>
      <c r="BL37" s="556"/>
      <c r="BM37" s="556"/>
      <c r="BN37" s="556"/>
      <c r="BO37" s="556"/>
      <c r="BP37" s="556"/>
      <c r="BQ37" s="556"/>
      <c r="BR37" s="556"/>
      <c r="BS37" s="556"/>
      <c r="BT37" s="556"/>
      <c r="BU37" s="556"/>
      <c r="BV37" s="556"/>
      <c r="BW37" s="556"/>
      <c r="BX37" s="556"/>
      <c r="BY37" s="556"/>
      <c r="BZ37" s="556"/>
      <c r="CA37" s="556"/>
      <c r="CB37" s="556"/>
      <c r="CC37" s="556"/>
      <c r="CD37" s="556"/>
      <c r="CE37" s="556"/>
      <c r="CF37" s="556"/>
      <c r="CG37" s="556"/>
      <c r="CH37" s="556"/>
    </row>
    <row r="38" spans="15:88" ht="7.5" customHeight="1" x14ac:dyDescent="0.2">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row>
    <row r="39" spans="15:88" ht="15" customHeight="1" x14ac:dyDescent="0.2">
      <c r="O39" s="561" t="s">
        <v>428</v>
      </c>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X39" s="557" t="s">
        <v>429</v>
      </c>
      <c r="AY39" s="557"/>
      <c r="AZ39" s="557"/>
      <c r="BA39" s="557"/>
      <c r="BB39" s="557"/>
      <c r="BC39" s="557"/>
      <c r="BD39" s="557"/>
      <c r="BE39" s="557"/>
      <c r="BF39" s="557"/>
      <c r="BG39" s="557"/>
      <c r="BH39" s="557"/>
      <c r="BI39" s="557"/>
      <c r="BJ39" s="557"/>
      <c r="BK39" s="557"/>
      <c r="BL39" s="557"/>
      <c r="BM39" s="557"/>
      <c r="BN39" s="557"/>
      <c r="BO39" s="557"/>
      <c r="BP39" s="557"/>
      <c r="BQ39" s="557"/>
      <c r="BR39" s="557"/>
      <c r="BS39" s="557"/>
      <c r="BT39" s="557"/>
      <c r="BU39" s="557"/>
      <c r="BV39" s="557"/>
      <c r="BW39" s="557"/>
      <c r="BX39" s="557"/>
      <c r="BY39" s="557"/>
      <c r="BZ39" s="557"/>
      <c r="CA39" s="557"/>
      <c r="CB39" s="557"/>
      <c r="CC39" s="557"/>
      <c r="CD39" s="557"/>
      <c r="CE39" s="557"/>
      <c r="CF39" s="557"/>
      <c r="CG39" s="557"/>
      <c r="CH39" s="557"/>
    </row>
    <row r="40" spans="15:88" ht="7.5" customHeight="1" x14ac:dyDescent="0.2">
      <c r="AX40" s="557"/>
      <c r="AY40" s="557"/>
      <c r="AZ40" s="557"/>
      <c r="BA40" s="557"/>
      <c r="BB40" s="557"/>
      <c r="BC40" s="557"/>
      <c r="BD40" s="557"/>
      <c r="BE40" s="557"/>
      <c r="BF40" s="557"/>
      <c r="BG40" s="557"/>
      <c r="BH40" s="557"/>
      <c r="BI40" s="557"/>
      <c r="BJ40" s="557"/>
      <c r="BK40" s="557"/>
      <c r="BL40" s="557"/>
      <c r="BM40" s="557"/>
      <c r="BN40" s="557"/>
      <c r="BO40" s="557"/>
      <c r="BP40" s="557"/>
      <c r="BQ40" s="557"/>
      <c r="BR40" s="557"/>
      <c r="BS40" s="557"/>
      <c r="BT40" s="557"/>
      <c r="BU40" s="557"/>
      <c r="BV40" s="557"/>
      <c r="BW40" s="557"/>
      <c r="BX40" s="557"/>
      <c r="BY40" s="557"/>
      <c r="BZ40" s="557"/>
      <c r="CA40" s="557"/>
      <c r="CB40" s="557"/>
      <c r="CC40" s="557"/>
      <c r="CD40" s="557"/>
      <c r="CE40" s="557"/>
      <c r="CF40" s="557"/>
      <c r="CG40" s="557"/>
      <c r="CH40" s="557"/>
    </row>
    <row r="41" spans="15:88" ht="15" customHeight="1" x14ac:dyDescent="0.2">
      <c r="O41" s="550" t="s">
        <v>56</v>
      </c>
      <c r="P41" s="550"/>
      <c r="Q41" s="550"/>
      <c r="R41" s="550"/>
      <c r="S41" s="550"/>
      <c r="T41" s="550"/>
      <c r="U41" s="550"/>
      <c r="V41" s="550"/>
      <c r="W41" s="550"/>
      <c r="X41" s="550"/>
      <c r="Y41" s="550"/>
      <c r="Z41" s="551"/>
      <c r="AA41" s="59"/>
      <c r="AB41" s="562">
        <v>2021</v>
      </c>
      <c r="AC41" s="563"/>
      <c r="AD41" s="563"/>
      <c r="AE41" s="563"/>
      <c r="AF41" s="563"/>
      <c r="AG41" s="563"/>
      <c r="AH41" s="563"/>
      <c r="AI41" s="563"/>
      <c r="AJ41" s="563"/>
      <c r="AK41" s="563"/>
      <c r="AL41" s="563"/>
      <c r="AM41" s="563"/>
      <c r="AN41" s="563"/>
      <c r="AX41" s="558" t="s">
        <v>473</v>
      </c>
      <c r="AY41" s="558"/>
      <c r="AZ41" s="558"/>
      <c r="BA41" s="558"/>
      <c r="BB41" s="558"/>
      <c r="BC41" s="558"/>
      <c r="BD41" s="558"/>
      <c r="BE41" s="558"/>
      <c r="BF41" s="558"/>
      <c r="BG41" s="558"/>
      <c r="BH41" s="560" t="s">
        <v>258</v>
      </c>
      <c r="BI41" s="560"/>
      <c r="BJ41" s="560"/>
      <c r="BK41" s="560"/>
      <c r="BL41" s="560"/>
      <c r="BM41" s="560"/>
      <c r="BN41" s="559" t="s">
        <v>108</v>
      </c>
      <c r="BO41" s="559"/>
      <c r="BP41" s="559"/>
      <c r="BQ41" s="559"/>
      <c r="BR41" s="559"/>
      <c r="BS41" s="559"/>
      <c r="BT41" s="559"/>
      <c r="BU41" s="559" t="s">
        <v>109</v>
      </c>
      <c r="BV41" s="559"/>
      <c r="BW41" s="559"/>
      <c r="BX41" s="559"/>
      <c r="BY41" s="559"/>
      <c r="BZ41" s="559"/>
      <c r="CA41" s="559"/>
      <c r="CB41" s="559" t="s">
        <v>110</v>
      </c>
      <c r="CC41" s="559"/>
      <c r="CD41" s="559"/>
      <c r="CE41" s="559"/>
      <c r="CF41" s="559"/>
      <c r="CG41" s="559"/>
      <c r="CH41" s="559"/>
    </row>
    <row r="42" spans="15:88" x14ac:dyDescent="0.2">
      <c r="O42" s="550" t="s">
        <v>57</v>
      </c>
      <c r="P42" s="550"/>
      <c r="Q42" s="550"/>
      <c r="R42" s="550"/>
      <c r="S42" s="550"/>
      <c r="T42" s="550"/>
      <c r="U42" s="550"/>
      <c r="V42" s="550"/>
      <c r="W42" s="550"/>
      <c r="X42" s="550"/>
      <c r="Y42" s="550"/>
      <c r="Z42" s="551"/>
      <c r="AA42" s="58"/>
      <c r="AB42" s="563">
        <v>57</v>
      </c>
      <c r="AC42" s="563"/>
      <c r="AD42" s="563"/>
      <c r="AE42" s="563"/>
      <c r="AF42" s="563"/>
      <c r="AG42" s="563"/>
      <c r="AH42" s="563"/>
      <c r="AI42" s="563"/>
      <c r="AJ42" s="563"/>
      <c r="AK42" s="563"/>
      <c r="AL42" s="563"/>
      <c r="AM42" s="563"/>
      <c r="AN42" s="563"/>
      <c r="AX42" s="552">
        <v>0</v>
      </c>
      <c r="AY42" s="552"/>
      <c r="AZ42" s="552"/>
      <c r="BA42" s="552"/>
      <c r="BB42" s="552"/>
      <c r="BC42" s="552"/>
      <c r="BD42" s="552"/>
      <c r="BE42" s="552"/>
      <c r="BF42" s="552"/>
      <c r="BG42" s="552"/>
      <c r="BH42" s="511">
        <v>430</v>
      </c>
      <c r="BI42" s="511"/>
      <c r="BJ42" s="511"/>
      <c r="BK42" s="511"/>
      <c r="BL42" s="511"/>
      <c r="BM42" s="511"/>
      <c r="BN42" s="552">
        <v>150</v>
      </c>
      <c r="BO42" s="552"/>
      <c r="BP42" s="552"/>
      <c r="BQ42" s="552"/>
      <c r="BR42" s="552"/>
      <c r="BS42" s="552"/>
      <c r="BT42" s="552"/>
      <c r="BU42" s="552">
        <v>100</v>
      </c>
      <c r="BV42" s="552"/>
      <c r="BW42" s="552"/>
      <c r="BX42" s="552"/>
      <c r="BY42" s="552"/>
      <c r="BZ42" s="552"/>
      <c r="CA42" s="552"/>
      <c r="CB42" s="552">
        <v>20</v>
      </c>
      <c r="CC42" s="552"/>
      <c r="CD42" s="552"/>
      <c r="CE42" s="552"/>
      <c r="CF42" s="552"/>
      <c r="CG42" s="552"/>
      <c r="CH42" s="552"/>
    </row>
    <row r="43" spans="15:88" ht="7.5" customHeight="1" x14ac:dyDescent="0.2"/>
    <row r="44" spans="15:88" x14ac:dyDescent="0.2">
      <c r="R44" s="548" t="s">
        <v>615</v>
      </c>
      <c r="S44" s="549"/>
      <c r="T44" s="549"/>
      <c r="U44" s="549"/>
      <c r="V44" s="549"/>
      <c r="W44" s="549"/>
      <c r="X44" s="549"/>
      <c r="Y44" s="549"/>
      <c r="Z44" s="549"/>
      <c r="AA44" s="549"/>
      <c r="AB44" s="549"/>
      <c r="AC44" s="549"/>
      <c r="AD44" s="549"/>
      <c r="AE44" s="549"/>
      <c r="AF44" s="549"/>
      <c r="AG44" s="549"/>
      <c r="AH44" s="549"/>
      <c r="AI44" s="549"/>
      <c r="AJ44" s="549"/>
      <c r="AK44" s="549"/>
    </row>
    <row r="45" spans="15:88" x14ac:dyDescent="0.2">
      <c r="R45" s="549"/>
      <c r="S45" s="549"/>
      <c r="T45" s="549"/>
      <c r="U45" s="549"/>
      <c r="V45" s="549"/>
      <c r="W45" s="549"/>
      <c r="X45" s="549"/>
      <c r="Y45" s="549"/>
      <c r="Z45" s="549"/>
      <c r="AA45" s="549"/>
      <c r="AB45" s="549"/>
      <c r="AC45" s="549"/>
      <c r="AD45" s="549"/>
      <c r="AE45" s="549"/>
      <c r="AF45" s="549"/>
      <c r="AG45" s="549"/>
      <c r="AH45" s="549"/>
      <c r="AI45" s="549"/>
      <c r="AJ45" s="549"/>
      <c r="AK45" s="549"/>
    </row>
    <row r="46" spans="15:88" x14ac:dyDescent="0.2">
      <c r="R46" s="549"/>
      <c r="S46" s="549"/>
      <c r="T46" s="549"/>
      <c r="U46" s="549"/>
      <c r="V46" s="549"/>
      <c r="W46" s="549"/>
      <c r="X46" s="549"/>
      <c r="Y46" s="549"/>
      <c r="Z46" s="549"/>
      <c r="AA46" s="549"/>
      <c r="AB46" s="549"/>
      <c r="AC46" s="549"/>
      <c r="AD46" s="549"/>
      <c r="AE46" s="549"/>
      <c r="AF46" s="549"/>
      <c r="AG46" s="549"/>
      <c r="AH46" s="549"/>
      <c r="AI46" s="549"/>
      <c r="AJ46" s="549"/>
      <c r="AK46" s="549"/>
    </row>
    <row r="47" spans="15:88" x14ac:dyDescent="0.2">
      <c r="R47" s="549"/>
      <c r="S47" s="549"/>
      <c r="T47" s="549"/>
      <c r="U47" s="549"/>
      <c r="V47" s="549"/>
      <c r="W47" s="549"/>
      <c r="X47" s="549"/>
      <c r="Y47" s="549"/>
      <c r="Z47" s="549"/>
      <c r="AA47" s="549"/>
      <c r="AB47" s="549"/>
      <c r="AC47" s="549"/>
      <c r="AD47" s="549"/>
      <c r="AE47" s="549"/>
      <c r="AF47" s="549"/>
      <c r="AG47" s="549"/>
      <c r="AH47" s="549"/>
      <c r="AI47" s="549"/>
      <c r="AJ47" s="549"/>
      <c r="AK47" s="549"/>
    </row>
  </sheetData>
  <sheetProtection sheet="1"/>
  <mergeCells count="160">
    <mergeCell ref="O5:AC5"/>
    <mergeCell ref="O3:CJ3"/>
    <mergeCell ref="AX39:CH40"/>
    <mergeCell ref="AX41:BG41"/>
    <mergeCell ref="CB41:CH41"/>
    <mergeCell ref="BU41:CA41"/>
    <mergeCell ref="BN41:BT41"/>
    <mergeCell ref="BH41:BM41"/>
    <mergeCell ref="BH42:BM42"/>
    <mergeCell ref="BN42:BT42"/>
    <mergeCell ref="BU42:CA42"/>
    <mergeCell ref="CB42:CH42"/>
    <mergeCell ref="O34:AS34"/>
    <mergeCell ref="O37:CH37"/>
    <mergeCell ref="O39:AN39"/>
    <mergeCell ref="AB41:AN41"/>
    <mergeCell ref="AB42:AN42"/>
    <mergeCell ref="O41:Z41"/>
    <mergeCell ref="CC34:CJ34"/>
    <mergeCell ref="BG34:BQ34"/>
    <mergeCell ref="BS34:CA34"/>
    <mergeCell ref="CC11:CJ11"/>
    <mergeCell ref="BS14:CA14"/>
    <mergeCell ref="CC14:CJ14"/>
    <mergeCell ref="BG14:BQ14"/>
    <mergeCell ref="BG16:BQ16"/>
    <mergeCell ref="BG8:BQ8"/>
    <mergeCell ref="BG18:BQ18"/>
    <mergeCell ref="R44:AK47"/>
    <mergeCell ref="AE27:AS27"/>
    <mergeCell ref="AE28:AS28"/>
    <mergeCell ref="AE14:AS14"/>
    <mergeCell ref="AE15:AS15"/>
    <mergeCell ref="AE23:AS23"/>
    <mergeCell ref="O42:Z42"/>
    <mergeCell ref="AX42:BG42"/>
    <mergeCell ref="AU14:BE14"/>
    <mergeCell ref="AE26:AS26"/>
    <mergeCell ref="AU34:BE34"/>
    <mergeCell ref="AE22:AS22"/>
    <mergeCell ref="AU16:BE16"/>
    <mergeCell ref="AU21:BE21"/>
    <mergeCell ref="BG21:BQ21"/>
    <mergeCell ref="AE20:AS20"/>
    <mergeCell ref="O17:AC25"/>
    <mergeCell ref="O27:AC32"/>
    <mergeCell ref="AU28:BE28"/>
    <mergeCell ref="BG28:BQ28"/>
    <mergeCell ref="AE7:AS7"/>
    <mergeCell ref="BG7:BQ7"/>
    <mergeCell ref="BS7:CA7"/>
    <mergeCell ref="CC7:CJ7"/>
    <mergeCell ref="BG9:BQ9"/>
    <mergeCell ref="AE16:AS16"/>
    <mergeCell ref="AE17:AS17"/>
    <mergeCell ref="BS9:CA9"/>
    <mergeCell ref="CC9:CJ9"/>
    <mergeCell ref="BG10:BQ10"/>
    <mergeCell ref="BS10:CA10"/>
    <mergeCell ref="CC13:CJ13"/>
    <mergeCell ref="AU15:BE15"/>
    <mergeCell ref="BG15:BQ15"/>
    <mergeCell ref="BS15:CA15"/>
    <mergeCell ref="AE10:AS10"/>
    <mergeCell ref="AE11:AS11"/>
    <mergeCell ref="AE13:AS13"/>
    <mergeCell ref="BS16:CA16"/>
    <mergeCell ref="CC16:CJ16"/>
    <mergeCell ref="CC15:CJ15"/>
    <mergeCell ref="AE8:AS8"/>
    <mergeCell ref="AU8:BE8"/>
    <mergeCell ref="AU17:BE17"/>
    <mergeCell ref="BG5:BQ5"/>
    <mergeCell ref="BS5:CA5"/>
    <mergeCell ref="CC5:CJ5"/>
    <mergeCell ref="AE5:AS5"/>
    <mergeCell ref="A1:P1"/>
    <mergeCell ref="BG17:BQ17"/>
    <mergeCell ref="BS17:CA17"/>
    <mergeCell ref="CC17:CJ17"/>
    <mergeCell ref="O7:AC11"/>
    <mergeCell ref="O13:AC15"/>
    <mergeCell ref="CC8:CJ8"/>
    <mergeCell ref="BS8:CA8"/>
    <mergeCell ref="BS11:CA11"/>
    <mergeCell ref="AE9:AS9"/>
    <mergeCell ref="CC10:CJ10"/>
    <mergeCell ref="BG11:BQ11"/>
    <mergeCell ref="BG13:BQ13"/>
    <mergeCell ref="BS13:CA13"/>
    <mergeCell ref="AU5:BE5"/>
    <mergeCell ref="AU7:BE7"/>
    <mergeCell ref="AU9:BE9"/>
    <mergeCell ref="AU10:BE10"/>
    <mergeCell ref="AU13:BE13"/>
    <mergeCell ref="AU11:BE11"/>
    <mergeCell ref="BS18:CA18"/>
    <mergeCell ref="CC18:CJ18"/>
    <mergeCell ref="BG19:BQ19"/>
    <mergeCell ref="BS19:CA19"/>
    <mergeCell ref="CC19:CJ19"/>
    <mergeCell ref="BS24:CA24"/>
    <mergeCell ref="CC24:CJ24"/>
    <mergeCell ref="AU25:BE25"/>
    <mergeCell ref="BG25:BQ25"/>
    <mergeCell ref="BS25:CA25"/>
    <mergeCell ref="CC25:CJ25"/>
    <mergeCell ref="AU22:BE22"/>
    <mergeCell ref="BG22:BQ22"/>
    <mergeCell ref="BS22:CA22"/>
    <mergeCell ref="CC22:CJ22"/>
    <mergeCell ref="AU23:BE23"/>
    <mergeCell ref="BG23:BQ23"/>
    <mergeCell ref="BS23:CA23"/>
    <mergeCell ref="CC23:CJ23"/>
    <mergeCell ref="BS20:CA20"/>
    <mergeCell ref="CC20:CJ20"/>
    <mergeCell ref="BS21:CA21"/>
    <mergeCell ref="CC21:CJ21"/>
    <mergeCell ref="AU24:BE24"/>
    <mergeCell ref="BS31:CA31"/>
    <mergeCell ref="CC31:CJ31"/>
    <mergeCell ref="BS28:CA28"/>
    <mergeCell ref="CC28:CJ28"/>
    <mergeCell ref="BS32:CA32"/>
    <mergeCell ref="CC32:CJ32"/>
    <mergeCell ref="BS30:CA30"/>
    <mergeCell ref="CC30:CJ30"/>
    <mergeCell ref="AU26:BE26"/>
    <mergeCell ref="BG26:BQ26"/>
    <mergeCell ref="BS26:CA26"/>
    <mergeCell ref="CC26:CJ26"/>
    <mergeCell ref="BS29:CA29"/>
    <mergeCell ref="CC29:CJ29"/>
    <mergeCell ref="AU27:BE27"/>
    <mergeCell ref="BG27:BQ27"/>
    <mergeCell ref="BS27:CA27"/>
    <mergeCell ref="CC27:CJ27"/>
    <mergeCell ref="AU30:BE30"/>
    <mergeCell ref="BG30:BQ30"/>
    <mergeCell ref="AU31:BE31"/>
    <mergeCell ref="BG31:BQ31"/>
    <mergeCell ref="AU32:BE32"/>
    <mergeCell ref="BG32:BQ32"/>
    <mergeCell ref="BG20:BQ20"/>
    <mergeCell ref="AE31:AS31"/>
    <mergeCell ref="AE25:AS25"/>
    <mergeCell ref="AE32:AS32"/>
    <mergeCell ref="AE29:AS29"/>
    <mergeCell ref="AE30:AS30"/>
    <mergeCell ref="AE24:AS24"/>
    <mergeCell ref="AE18:AS18"/>
    <mergeCell ref="AE21:AS21"/>
    <mergeCell ref="AE19:AS19"/>
    <mergeCell ref="AU19:BE19"/>
    <mergeCell ref="AU18:BE18"/>
    <mergeCell ref="BG29:BQ29"/>
    <mergeCell ref="AU29:BE29"/>
    <mergeCell ref="BG24:BQ24"/>
    <mergeCell ref="AU20:BE20"/>
  </mergeCells>
  <phoneticPr fontId="3"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AP183"/>
  <sheetViews>
    <sheetView topLeftCell="A108" zoomScaleNormal="100" workbookViewId="0">
      <selection activeCell="M112" sqref="M112"/>
    </sheetView>
  </sheetViews>
  <sheetFormatPr defaultColWidth="5.125" defaultRowHeight="15" x14ac:dyDescent="0.25"/>
  <cols>
    <col min="1" max="4" width="5.125" style="275" customWidth="1"/>
    <col min="5" max="5" width="6.5" style="275" customWidth="1"/>
    <col min="6" max="6" width="2.625" style="275" customWidth="1"/>
    <col min="7" max="8" width="7.75" style="275" customWidth="1"/>
    <col min="9" max="12" width="5.125" style="275" customWidth="1"/>
    <col min="13" max="13" width="3.375" style="275" customWidth="1"/>
    <col min="14" max="16" width="5.125" style="275" customWidth="1"/>
    <col min="17" max="18" width="9.625" style="275" customWidth="1"/>
    <col min="19" max="19" width="6.125" style="275" customWidth="1"/>
    <col min="20" max="21" width="9.625" style="275" customWidth="1"/>
    <col min="22" max="22" width="7.375" style="275" customWidth="1"/>
    <col min="23" max="23" width="11.125" style="275" customWidth="1"/>
    <col min="24" max="24" width="8.25" style="275" customWidth="1"/>
    <col min="25" max="25" width="4.625" style="275" customWidth="1"/>
    <col min="26" max="26" width="6.375" style="275" customWidth="1"/>
    <col min="27" max="27" width="7.625" style="275" customWidth="1"/>
    <col min="28" max="29" width="5.125" style="275"/>
    <col min="30" max="31" width="6.5" style="275" customWidth="1"/>
    <col min="32" max="32" width="5.125" style="275" customWidth="1"/>
    <col min="33" max="33" width="8.5" style="275" customWidth="1"/>
    <col min="34" max="34" width="8.5" style="275" hidden="1" customWidth="1"/>
    <col min="35" max="39" width="5.125" style="275" hidden="1" customWidth="1"/>
    <col min="40" max="41" width="5.875" style="275" hidden="1" customWidth="1"/>
    <col min="42" max="42" width="5.125" style="275" hidden="1" customWidth="1"/>
    <col min="43" max="16384" width="5.125" style="275"/>
  </cols>
  <sheetData>
    <row r="1" spans="1:31" s="354" customFormat="1" ht="68.25" customHeight="1" thickBot="1" x14ac:dyDescent="0.3">
      <c r="A1" s="512"/>
      <c r="B1" s="512"/>
      <c r="C1" s="512"/>
      <c r="D1" s="512"/>
      <c r="E1" s="512"/>
      <c r="F1" s="512"/>
      <c r="G1" s="512"/>
      <c r="H1" s="512"/>
      <c r="I1" s="512"/>
      <c r="J1" s="512"/>
      <c r="K1" s="512"/>
      <c r="L1" s="512"/>
      <c r="M1" s="512"/>
      <c r="N1" s="512"/>
      <c r="O1" s="512"/>
      <c r="P1" s="512"/>
    </row>
    <row r="3" spans="1:31" ht="15" customHeight="1" x14ac:dyDescent="0.3">
      <c r="B3" s="816" t="s">
        <v>260</v>
      </c>
      <c r="C3" s="816"/>
      <c r="D3" s="816"/>
      <c r="E3" s="816"/>
      <c r="F3" s="816"/>
      <c r="G3" s="816"/>
      <c r="H3" s="816"/>
      <c r="I3" s="816"/>
      <c r="J3" s="816"/>
      <c r="K3" s="816"/>
      <c r="L3" s="816"/>
      <c r="M3" s="816"/>
      <c r="N3" s="816"/>
      <c r="O3" s="816"/>
      <c r="P3" s="816"/>
      <c r="Q3" s="816"/>
      <c r="R3" s="816"/>
      <c r="S3" s="816"/>
      <c r="T3" s="816"/>
      <c r="U3" s="816"/>
      <c r="V3" s="816"/>
      <c r="W3" s="816"/>
      <c r="X3" s="816"/>
      <c r="Y3" s="816"/>
      <c r="Z3" s="816"/>
      <c r="AA3" s="816"/>
      <c r="AB3" s="816"/>
      <c r="AC3" s="816"/>
      <c r="AD3" s="816"/>
      <c r="AE3" s="816"/>
    </row>
    <row r="4" spans="1:31" ht="7.5" customHeight="1" x14ac:dyDescent="0.25">
      <c r="B4" s="277"/>
    </row>
    <row r="5" spans="1:31" ht="15" customHeight="1" x14ac:dyDescent="0.25">
      <c r="B5" s="277" t="s">
        <v>567</v>
      </c>
    </row>
    <row r="6" spans="1:31" ht="15" customHeight="1" x14ac:dyDescent="0.25"/>
    <row r="7" spans="1:31" s="278" customFormat="1" ht="43.5" customHeight="1" x14ac:dyDescent="0.2">
      <c r="B7" s="709" t="s">
        <v>581</v>
      </c>
      <c r="C7" s="710"/>
      <c r="D7" s="710"/>
      <c r="E7" s="710"/>
      <c r="F7" s="710"/>
      <c r="G7" s="710"/>
      <c r="H7" s="710"/>
      <c r="I7" s="710"/>
      <c r="J7" s="710"/>
      <c r="K7" s="710"/>
      <c r="L7" s="711"/>
      <c r="M7" s="189"/>
      <c r="N7" s="692" t="s">
        <v>546</v>
      </c>
      <c r="O7" s="692"/>
      <c r="Q7" s="717" t="s">
        <v>547</v>
      </c>
      <c r="R7" s="718"/>
      <c r="S7" s="49"/>
      <c r="T7" s="717" t="s">
        <v>545</v>
      </c>
      <c r="U7" s="718"/>
      <c r="W7" s="692" t="s">
        <v>735</v>
      </c>
      <c r="X7" s="692"/>
      <c r="Z7" s="692" t="s">
        <v>729</v>
      </c>
      <c r="AA7" s="692"/>
    </row>
    <row r="8" spans="1:31" s="192" customFormat="1" ht="5.0999999999999996" customHeight="1" x14ac:dyDescent="0.2">
      <c r="C8" s="20"/>
    </row>
    <row r="9" spans="1:31" s="192" customFormat="1" ht="30" customHeight="1" x14ac:dyDescent="0.2">
      <c r="B9" s="618" t="s">
        <v>128</v>
      </c>
      <c r="C9" s="631"/>
      <c r="D9" s="631"/>
      <c r="E9" s="619"/>
      <c r="G9" s="618" t="s">
        <v>129</v>
      </c>
      <c r="H9" s="631"/>
      <c r="I9" s="631"/>
      <c r="J9" s="631"/>
      <c r="K9" s="631"/>
      <c r="L9" s="619"/>
      <c r="N9" s="632">
        <f>CADASTRO!AB42*110%</f>
        <v>62.7</v>
      </c>
      <c r="O9" s="632"/>
      <c r="P9" s="279"/>
      <c r="Q9" s="721">
        <v>60</v>
      </c>
      <c r="R9" s="722"/>
      <c r="S9" s="280"/>
      <c r="T9" s="712">
        <f>Q9/N9</f>
        <v>0.9569377990430622</v>
      </c>
      <c r="U9" s="713"/>
      <c r="W9" s="673">
        <v>1</v>
      </c>
      <c r="X9" s="673"/>
      <c r="Z9" s="632">
        <f>Q9*W9</f>
        <v>60</v>
      </c>
      <c r="AA9" s="632"/>
    </row>
    <row r="10" spans="1:31" s="192" customFormat="1" ht="52.5" customHeight="1" x14ac:dyDescent="0.2">
      <c r="B10" s="618" t="s">
        <v>613</v>
      </c>
      <c r="C10" s="631"/>
      <c r="D10" s="631"/>
      <c r="E10" s="619"/>
      <c r="G10" s="618" t="s">
        <v>130</v>
      </c>
      <c r="H10" s="631"/>
      <c r="I10" s="631"/>
      <c r="J10" s="631"/>
      <c r="K10" s="631"/>
      <c r="L10" s="619"/>
      <c r="N10" s="632">
        <f>N9*85%</f>
        <v>53.295000000000002</v>
      </c>
      <c r="O10" s="632"/>
      <c r="P10" s="279"/>
      <c r="Q10" s="723">
        <v>50</v>
      </c>
      <c r="R10" s="724"/>
      <c r="S10" s="280"/>
      <c r="T10" s="712">
        <f>Q10/N10</f>
        <v>0.93817431278731589</v>
      </c>
      <c r="U10" s="713"/>
      <c r="W10" s="673">
        <v>1</v>
      </c>
      <c r="X10" s="673"/>
      <c r="Z10" s="632">
        <f t="shared" ref="Z10:Z11" si="0">Q10*W10</f>
        <v>50</v>
      </c>
      <c r="AA10" s="632"/>
    </row>
    <row r="11" spans="1:31" s="192" customFormat="1" ht="39" customHeight="1" x14ac:dyDescent="0.2">
      <c r="B11" s="618" t="s">
        <v>131</v>
      </c>
      <c r="C11" s="631"/>
      <c r="D11" s="631"/>
      <c r="E11" s="619"/>
      <c r="G11" s="618" t="s">
        <v>132</v>
      </c>
      <c r="H11" s="631"/>
      <c r="I11" s="631"/>
      <c r="J11" s="631"/>
      <c r="K11" s="631"/>
      <c r="L11" s="619"/>
      <c r="N11" s="632">
        <f>N9*15%</f>
        <v>9.4049999999999994</v>
      </c>
      <c r="O11" s="632"/>
      <c r="P11" s="279"/>
      <c r="Q11" s="719">
        <v>9</v>
      </c>
      <c r="R11" s="720"/>
      <c r="S11" s="280"/>
      <c r="T11" s="712">
        <f>Q11/N11</f>
        <v>0.95693779904306231</v>
      </c>
      <c r="U11" s="713"/>
      <c r="W11" s="673">
        <v>1</v>
      </c>
      <c r="X11" s="673"/>
      <c r="Z11" s="632">
        <f t="shared" si="0"/>
        <v>9</v>
      </c>
      <c r="AA11" s="632"/>
    </row>
    <row r="12" spans="1:31" s="192" customFormat="1" ht="14.25" customHeight="1" x14ac:dyDescent="0.2">
      <c r="B12" s="674" t="s">
        <v>730</v>
      </c>
      <c r="C12" s="674"/>
      <c r="D12" s="674"/>
      <c r="E12" s="674"/>
      <c r="F12" s="674"/>
      <c r="G12" s="674"/>
      <c r="H12" s="674"/>
      <c r="I12" s="674"/>
      <c r="J12" s="674"/>
      <c r="K12" s="674"/>
      <c r="L12" s="674"/>
      <c r="M12" s="674"/>
      <c r="N12" s="674"/>
      <c r="O12" s="674"/>
      <c r="P12" s="674"/>
      <c r="Q12" s="674"/>
      <c r="R12" s="674"/>
      <c r="S12" s="674"/>
    </row>
    <row r="13" spans="1:31" x14ac:dyDescent="0.25">
      <c r="W13" s="281"/>
    </row>
    <row r="14" spans="1:31" s="192" customFormat="1" ht="15" customHeight="1" x14ac:dyDescent="0.3">
      <c r="B14" s="816" t="s">
        <v>261</v>
      </c>
      <c r="C14" s="816"/>
      <c r="D14" s="816"/>
      <c r="E14" s="816"/>
      <c r="F14" s="816"/>
      <c r="G14" s="816"/>
      <c r="H14" s="816"/>
      <c r="I14" s="816"/>
      <c r="J14" s="816"/>
      <c r="K14" s="816"/>
      <c r="L14" s="816"/>
      <c r="M14" s="816"/>
      <c r="N14" s="816"/>
      <c r="O14" s="816"/>
      <c r="P14" s="816"/>
      <c r="Q14" s="816"/>
      <c r="R14" s="816"/>
      <c r="S14" s="816"/>
      <c r="T14" s="816"/>
      <c r="U14" s="816"/>
      <c r="V14" s="816"/>
      <c r="W14" s="816"/>
      <c r="X14" s="816"/>
      <c r="Y14" s="816"/>
      <c r="Z14" s="816"/>
      <c r="AA14" s="816"/>
      <c r="AB14" s="816"/>
      <c r="AC14" s="816"/>
      <c r="AD14" s="816"/>
      <c r="AE14" s="816"/>
    </row>
    <row r="15" spans="1:31" s="192" customFormat="1" ht="7.5" customHeight="1" x14ac:dyDescent="0.25">
      <c r="B15" s="277"/>
      <c r="D15" s="193"/>
      <c r="E15" s="193"/>
    </row>
    <row r="16" spans="1:31" ht="15" customHeight="1" x14ac:dyDescent="0.25">
      <c r="B16" s="277" t="s">
        <v>567</v>
      </c>
    </row>
    <row r="17" spans="2:30" s="192" customFormat="1" ht="15" customHeight="1" x14ac:dyDescent="0.25">
      <c r="B17" s="277"/>
      <c r="D17" s="193"/>
      <c r="E17" s="193"/>
    </row>
    <row r="18" spans="2:30" ht="51.75" customHeight="1" x14ac:dyDescent="0.25">
      <c r="J18" s="654" t="s">
        <v>581</v>
      </c>
      <c r="K18" s="655"/>
      <c r="L18" s="655"/>
      <c r="M18" s="655"/>
      <c r="N18" s="655"/>
      <c r="O18" s="655"/>
      <c r="P18" s="655"/>
      <c r="Q18" s="655"/>
      <c r="R18" s="655"/>
      <c r="S18" s="655"/>
      <c r="T18" s="656"/>
      <c r="V18" s="676" t="s">
        <v>546</v>
      </c>
      <c r="W18" s="678"/>
    </row>
    <row r="19" spans="2:30" ht="7.5" customHeight="1" x14ac:dyDescent="0.25">
      <c r="J19" s="192"/>
      <c r="K19" s="20"/>
      <c r="L19" s="192"/>
      <c r="M19" s="192"/>
      <c r="N19" s="282"/>
      <c r="O19" s="283"/>
      <c r="P19" s="283"/>
      <c r="Q19" s="283"/>
      <c r="R19" s="283"/>
      <c r="S19" s="283"/>
      <c r="T19" s="283"/>
      <c r="V19" s="192"/>
      <c r="W19" s="192"/>
    </row>
    <row r="20" spans="2:30" ht="30" customHeight="1" x14ac:dyDescent="0.25">
      <c r="J20" s="727" t="s">
        <v>733</v>
      </c>
      <c r="K20" s="728"/>
      <c r="L20" s="728"/>
      <c r="M20" s="729"/>
      <c r="N20" s="278"/>
      <c r="O20" s="714" t="s">
        <v>734</v>
      </c>
      <c r="P20" s="715"/>
      <c r="Q20" s="715"/>
      <c r="R20" s="715"/>
      <c r="S20" s="715"/>
      <c r="T20" s="716"/>
      <c r="V20" s="632">
        <f>CADASTRO!BS11</f>
        <v>615</v>
      </c>
      <c r="W20" s="632"/>
    </row>
    <row r="21" spans="2:30" ht="43.5" customHeight="1" x14ac:dyDescent="0.25">
      <c r="J21" s="714" t="s">
        <v>134</v>
      </c>
      <c r="K21" s="715"/>
      <c r="L21" s="715"/>
      <c r="M21" s="716"/>
      <c r="N21" s="284"/>
      <c r="O21" s="714" t="s">
        <v>135</v>
      </c>
      <c r="P21" s="715"/>
      <c r="Q21" s="715"/>
      <c r="R21" s="715"/>
      <c r="S21" s="715"/>
      <c r="T21" s="716"/>
      <c r="V21" s="632">
        <f>V20*85%</f>
        <v>522.75</v>
      </c>
      <c r="W21" s="632"/>
    </row>
    <row r="22" spans="2:30" ht="38.25" customHeight="1" x14ac:dyDescent="0.25">
      <c r="J22" s="618" t="s">
        <v>137</v>
      </c>
      <c r="K22" s="631"/>
      <c r="L22" s="631"/>
      <c r="M22" s="619"/>
      <c r="N22" s="192"/>
      <c r="O22" s="618" t="s">
        <v>138</v>
      </c>
      <c r="P22" s="631"/>
      <c r="Q22" s="631"/>
      <c r="R22" s="631"/>
      <c r="S22" s="631"/>
      <c r="T22" s="619"/>
      <c r="V22" s="632">
        <f>V20*15%</f>
        <v>92.25</v>
      </c>
      <c r="W22" s="632"/>
    </row>
    <row r="23" spans="2:30" x14ac:dyDescent="0.25">
      <c r="J23" s="192" t="s">
        <v>591</v>
      </c>
      <c r="K23" s="192"/>
      <c r="L23" s="193"/>
      <c r="M23" s="193"/>
      <c r="N23" s="192"/>
      <c r="O23" s="192"/>
      <c r="P23" s="192"/>
      <c r="Q23" s="192"/>
      <c r="R23" s="192"/>
      <c r="S23" s="192"/>
      <c r="T23" s="192"/>
    </row>
    <row r="26" spans="2:30" s="192" customFormat="1" ht="15" customHeight="1" x14ac:dyDescent="0.2">
      <c r="B26" s="576" t="s">
        <v>708</v>
      </c>
      <c r="C26" s="576"/>
      <c r="D26" s="576"/>
      <c r="E26" s="576"/>
      <c r="F26" s="576"/>
      <c r="G26" s="576"/>
      <c r="H26" s="576"/>
      <c r="I26" s="576"/>
      <c r="J26" s="576"/>
      <c r="K26" s="576"/>
      <c r="L26" s="576"/>
      <c r="M26" s="576"/>
      <c r="N26" s="576"/>
      <c r="R26" s="577" t="s">
        <v>709</v>
      </c>
      <c r="S26" s="578"/>
      <c r="T26" s="578"/>
      <c r="U26" s="578"/>
      <c r="V26" s="578"/>
      <c r="W26" s="578"/>
      <c r="X26" s="578"/>
      <c r="Y26" s="578"/>
      <c r="Z26" s="578"/>
      <c r="AA26" s="578"/>
      <c r="AB26" s="578"/>
      <c r="AC26" s="578"/>
      <c r="AD26" s="579"/>
    </row>
    <row r="27" spans="2:30" s="192" customFormat="1" ht="7.5" customHeight="1" x14ac:dyDescent="0.2"/>
    <row r="28" spans="2:30" s="192" customFormat="1" ht="22.5" customHeight="1" x14ac:dyDescent="0.2">
      <c r="B28" s="675" t="s">
        <v>548</v>
      </c>
      <c r="C28" s="675"/>
      <c r="D28" s="675"/>
      <c r="E28" s="675"/>
      <c r="F28" s="49"/>
      <c r="G28" s="633" t="s">
        <v>547</v>
      </c>
      <c r="H28" s="634"/>
      <c r="I28" s="20"/>
      <c r="J28" s="585" t="s">
        <v>545</v>
      </c>
      <c r="K28" s="586"/>
      <c r="M28" s="585" t="s">
        <v>544</v>
      </c>
      <c r="N28" s="586"/>
      <c r="R28" s="676" t="s">
        <v>548</v>
      </c>
      <c r="S28" s="677"/>
      <c r="T28" s="677"/>
      <c r="U28" s="678"/>
      <c r="V28" s="49"/>
      <c r="W28" s="633" t="s">
        <v>547</v>
      </c>
      <c r="X28" s="634"/>
      <c r="Y28" s="20"/>
      <c r="Z28" s="585" t="s">
        <v>545</v>
      </c>
      <c r="AA28" s="586"/>
      <c r="AC28" s="585" t="s">
        <v>544</v>
      </c>
      <c r="AD28" s="586"/>
    </row>
    <row r="29" spans="2:30" s="192" customFormat="1" ht="15" customHeight="1" x14ac:dyDescent="0.2">
      <c r="B29" s="589" t="s">
        <v>263</v>
      </c>
      <c r="C29" s="589"/>
      <c r="D29" s="589" t="s">
        <v>257</v>
      </c>
      <c r="E29" s="589"/>
      <c r="G29" s="635"/>
      <c r="H29" s="636"/>
      <c r="I29" s="20"/>
      <c r="J29" s="587"/>
      <c r="K29" s="588"/>
      <c r="M29" s="587"/>
      <c r="N29" s="588"/>
      <c r="R29" s="565" t="s">
        <v>263</v>
      </c>
      <c r="S29" s="566"/>
      <c r="T29" s="565" t="s">
        <v>257</v>
      </c>
      <c r="U29" s="566"/>
      <c r="W29" s="635"/>
      <c r="X29" s="636"/>
      <c r="Y29" s="20"/>
      <c r="Z29" s="587"/>
      <c r="AA29" s="588"/>
      <c r="AC29" s="587"/>
      <c r="AD29" s="588"/>
    </row>
    <row r="30" spans="2:30" s="192" customFormat="1" ht="7.5" customHeight="1" x14ac:dyDescent="0.2"/>
    <row r="31" spans="2:30" s="192" customFormat="1" ht="30" customHeight="1" x14ac:dyDescent="0.2">
      <c r="B31" s="567" t="s">
        <v>305</v>
      </c>
      <c r="C31" s="568"/>
      <c r="D31" s="570">
        <f>CADASTRO!BS7*85%</f>
        <v>48.449999999999996</v>
      </c>
      <c r="E31" s="571"/>
      <c r="G31" s="580">
        <v>40</v>
      </c>
      <c r="H31" s="581"/>
      <c r="I31" s="23"/>
      <c r="J31" s="574">
        <f>G31/D31</f>
        <v>0.82559339525283804</v>
      </c>
      <c r="K31" s="575"/>
      <c r="M31" s="593">
        <v>0.83</v>
      </c>
      <c r="N31" s="594"/>
      <c r="R31" s="567" t="s">
        <v>305</v>
      </c>
      <c r="S31" s="568"/>
      <c r="T31" s="570">
        <f>CADASTRO!BS7*15%</f>
        <v>8.5499999999999989</v>
      </c>
      <c r="U31" s="571"/>
      <c r="W31" s="580">
        <v>9</v>
      </c>
      <c r="X31" s="581"/>
      <c r="Y31" s="23"/>
      <c r="Z31" s="574">
        <f>W31/T31</f>
        <v>1.0526315789473686</v>
      </c>
      <c r="AA31" s="575"/>
      <c r="AC31" s="582">
        <v>1</v>
      </c>
      <c r="AD31" s="583"/>
    </row>
    <row r="32" spans="2:30" s="192" customFormat="1" ht="30" customHeight="1" x14ac:dyDescent="0.2">
      <c r="B32" s="584" t="s">
        <v>308</v>
      </c>
      <c r="C32" s="477"/>
      <c r="D32" s="570">
        <f>CADASTRO!BS8*85%</f>
        <v>46.75</v>
      </c>
      <c r="E32" s="571"/>
      <c r="G32" s="572">
        <v>40</v>
      </c>
      <c r="H32" s="573"/>
      <c r="I32" s="23"/>
      <c r="J32" s="574">
        <f>G32/D32</f>
        <v>0.85561497326203206</v>
      </c>
      <c r="K32" s="575"/>
      <c r="M32" s="725">
        <v>1</v>
      </c>
      <c r="N32" s="725"/>
      <c r="R32" s="567" t="s">
        <v>308</v>
      </c>
      <c r="S32" s="568"/>
      <c r="T32" s="570">
        <f>CADASTRO!BS8*15%</f>
        <v>8.25</v>
      </c>
      <c r="U32" s="571"/>
      <c r="W32" s="580">
        <v>8</v>
      </c>
      <c r="X32" s="581"/>
      <c r="Y32" s="23"/>
      <c r="Z32" s="574">
        <f>W32/T32</f>
        <v>0.96969696969696972</v>
      </c>
      <c r="AA32" s="575"/>
      <c r="AC32" s="582">
        <v>1</v>
      </c>
      <c r="AD32" s="583"/>
    </row>
    <row r="33" spans="2:42" s="192" customFormat="1" ht="30" customHeight="1" x14ac:dyDescent="0.2">
      <c r="B33" s="584" t="s">
        <v>307</v>
      </c>
      <c r="C33" s="477"/>
      <c r="D33" s="570">
        <f>CADASTRO!BS9*85%</f>
        <v>186.15</v>
      </c>
      <c r="E33" s="571"/>
      <c r="G33" s="572">
        <v>180</v>
      </c>
      <c r="H33" s="573"/>
      <c r="J33" s="574">
        <f>G33/D33</f>
        <v>0.96696212731668008</v>
      </c>
      <c r="K33" s="575"/>
      <c r="M33" s="725">
        <v>0.6</v>
      </c>
      <c r="N33" s="725"/>
      <c r="R33" s="567" t="s">
        <v>307</v>
      </c>
      <c r="S33" s="568"/>
      <c r="T33" s="570">
        <f>CADASTRO!BS9*15%</f>
        <v>32.85</v>
      </c>
      <c r="U33" s="571"/>
      <c r="W33" s="580">
        <v>33</v>
      </c>
      <c r="X33" s="581"/>
      <c r="Z33" s="574">
        <f>W33/T33</f>
        <v>1.004566210045662</v>
      </c>
      <c r="AA33" s="575"/>
      <c r="AC33" s="582">
        <v>1</v>
      </c>
      <c r="AD33" s="583"/>
    </row>
    <row r="34" spans="2:42" s="192" customFormat="1" ht="30" customHeight="1" x14ac:dyDescent="0.2">
      <c r="B34" s="628" t="s">
        <v>306</v>
      </c>
      <c r="C34" s="629"/>
      <c r="D34" s="570">
        <f>CADASTRO!BS10*85%</f>
        <v>241.4</v>
      </c>
      <c r="E34" s="571"/>
      <c r="G34" s="572">
        <v>200</v>
      </c>
      <c r="H34" s="573"/>
      <c r="J34" s="574">
        <f>G34/D34</f>
        <v>0.82850041425020715</v>
      </c>
      <c r="K34" s="575"/>
      <c r="M34" s="582">
        <v>0.4</v>
      </c>
      <c r="N34" s="583"/>
      <c r="R34" s="567" t="s">
        <v>306</v>
      </c>
      <c r="S34" s="568"/>
      <c r="T34" s="570">
        <f>CADASTRO!BS10*15%</f>
        <v>42.6</v>
      </c>
      <c r="U34" s="571"/>
      <c r="W34" s="580">
        <v>43</v>
      </c>
      <c r="X34" s="581"/>
      <c r="Z34" s="574">
        <f>W34/T34</f>
        <v>1.0093896713615023</v>
      </c>
      <c r="AA34" s="575"/>
      <c r="AC34" s="582">
        <v>1</v>
      </c>
      <c r="AD34" s="583"/>
    </row>
    <row r="36" spans="2:42" s="192" customFormat="1" ht="20.100000000000001" customHeight="1" x14ac:dyDescent="0.2">
      <c r="C36" s="686" t="s">
        <v>710</v>
      </c>
      <c r="D36" s="687"/>
      <c r="E36" s="687"/>
      <c r="F36" s="687"/>
      <c r="G36" s="687"/>
      <c r="H36" s="688"/>
      <c r="J36" s="689" t="s">
        <v>592</v>
      </c>
      <c r="K36" s="690"/>
      <c r="L36" s="690"/>
      <c r="M36" s="690"/>
      <c r="N36" s="690"/>
      <c r="O36" s="690"/>
      <c r="P36" s="690"/>
      <c r="Q36" s="690"/>
      <c r="R36" s="690"/>
      <c r="S36" s="690"/>
      <c r="T36" s="690"/>
      <c r="U36" s="690"/>
      <c r="V36" s="690"/>
      <c r="W36" s="690"/>
      <c r="X36" s="690"/>
      <c r="Y36" s="691"/>
      <c r="Z36" s="25"/>
      <c r="AA36" s="242"/>
      <c r="AC36" s="207"/>
      <c r="AD36" s="207"/>
      <c r="AF36" s="208"/>
      <c r="AG36" s="208"/>
    </row>
    <row r="37" spans="2:42" s="192" customFormat="1" ht="20.100000000000001" customHeight="1" x14ac:dyDescent="0.2">
      <c r="C37" s="703" t="s">
        <v>263</v>
      </c>
      <c r="D37" s="703"/>
      <c r="E37" s="703"/>
      <c r="F37" s="703"/>
      <c r="G37" s="849" t="s">
        <v>0</v>
      </c>
      <c r="H37" s="850"/>
      <c r="J37" s="696" t="s">
        <v>263</v>
      </c>
      <c r="K37" s="697"/>
      <c r="L37" s="697"/>
      <c r="M37" s="698"/>
      <c r="N37" s="851" t="s">
        <v>4</v>
      </c>
      <c r="O37" s="852"/>
      <c r="P37" s="852"/>
      <c r="Q37" s="853"/>
      <c r="R37" s="851" t="s">
        <v>300</v>
      </c>
      <c r="S37" s="852"/>
      <c r="T37" s="852"/>
      <c r="U37" s="854"/>
      <c r="V37" s="855" t="s">
        <v>230</v>
      </c>
      <c r="W37" s="856"/>
      <c r="X37" s="856"/>
      <c r="Y37" s="857"/>
      <c r="Z37" s="25"/>
      <c r="AA37" s="242"/>
      <c r="AC37" s="207"/>
      <c r="AD37" s="207"/>
      <c r="AF37" s="208"/>
      <c r="AG37" s="208"/>
    </row>
    <row r="38" spans="2:42" s="192" customFormat="1" ht="20.100000000000001" customHeight="1" x14ac:dyDescent="0.2">
      <c r="C38" s="703" t="s">
        <v>305</v>
      </c>
      <c r="D38" s="703"/>
      <c r="E38" s="703"/>
      <c r="F38" s="703"/>
      <c r="G38" s="704">
        <f>(G31+W31)/(D31+T31)</f>
        <v>0.85964912280701766</v>
      </c>
      <c r="H38" s="705"/>
      <c r="J38" s="696" t="s">
        <v>305</v>
      </c>
      <c r="K38" s="697"/>
      <c r="L38" s="697"/>
      <c r="M38" s="698"/>
      <c r="N38" s="699">
        <f>(D31*M31) +(T31*AC31)</f>
        <v>48.763499999999993</v>
      </c>
      <c r="O38" s="700"/>
      <c r="P38" s="700"/>
      <c r="Q38" s="701"/>
      <c r="R38" s="699">
        <f>D31*M31</f>
        <v>40.213499999999996</v>
      </c>
      <c r="S38" s="700"/>
      <c r="T38" s="700"/>
      <c r="U38" s="702"/>
      <c r="V38" s="699">
        <f>T31*AC31</f>
        <v>8.5499999999999989</v>
      </c>
      <c r="W38" s="700"/>
      <c r="X38" s="700"/>
      <c r="Y38" s="702"/>
      <c r="Z38" s="25"/>
      <c r="AA38" s="242"/>
      <c r="AC38" s="207"/>
      <c r="AD38" s="207"/>
      <c r="AF38" s="208"/>
      <c r="AG38" s="208"/>
    </row>
    <row r="39" spans="2:42" s="192" customFormat="1" ht="20.100000000000001" customHeight="1" x14ac:dyDescent="0.2">
      <c r="C39" s="703" t="s">
        <v>308</v>
      </c>
      <c r="D39" s="703"/>
      <c r="E39" s="703"/>
      <c r="F39" s="703"/>
      <c r="G39" s="704">
        <f>(G32+W32)/(D32+T32)</f>
        <v>0.87272727272727268</v>
      </c>
      <c r="H39" s="705"/>
      <c r="J39" s="696" t="s">
        <v>308</v>
      </c>
      <c r="K39" s="697"/>
      <c r="L39" s="697"/>
      <c r="M39" s="698"/>
      <c r="N39" s="699">
        <f>(D32*M32)+(T32*AC32)</f>
        <v>55</v>
      </c>
      <c r="O39" s="700"/>
      <c r="P39" s="700"/>
      <c r="Q39" s="701"/>
      <c r="R39" s="699">
        <f>D32*M32</f>
        <v>46.75</v>
      </c>
      <c r="S39" s="700"/>
      <c r="T39" s="700"/>
      <c r="U39" s="702"/>
      <c r="V39" s="699">
        <f>T32*AC32</f>
        <v>8.25</v>
      </c>
      <c r="W39" s="700"/>
      <c r="X39" s="700"/>
      <c r="Y39" s="702"/>
      <c r="Z39" s="25"/>
      <c r="AA39" s="242"/>
      <c r="AC39" s="207"/>
      <c r="AD39" s="207"/>
      <c r="AF39" s="208"/>
      <c r="AG39" s="208"/>
    </row>
    <row r="40" spans="2:42" s="192" customFormat="1" ht="20.100000000000001" customHeight="1" x14ac:dyDescent="0.2">
      <c r="C40" s="703" t="s">
        <v>307</v>
      </c>
      <c r="D40" s="703"/>
      <c r="E40" s="703"/>
      <c r="F40" s="703"/>
      <c r="G40" s="704">
        <f>(G33+W33)/(D33+T33)</f>
        <v>0.9726027397260274</v>
      </c>
      <c r="H40" s="705"/>
      <c r="J40" s="696" t="s">
        <v>307</v>
      </c>
      <c r="K40" s="697"/>
      <c r="L40" s="697"/>
      <c r="M40" s="698"/>
      <c r="N40" s="699">
        <f>(D33*M33)+(T33*AC33)</f>
        <v>144.54</v>
      </c>
      <c r="O40" s="700"/>
      <c r="P40" s="700"/>
      <c r="Q40" s="701"/>
      <c r="R40" s="699">
        <f>D33*M33</f>
        <v>111.69</v>
      </c>
      <c r="S40" s="700"/>
      <c r="T40" s="700"/>
      <c r="U40" s="702"/>
      <c r="V40" s="699">
        <f>T33*AC33</f>
        <v>32.85</v>
      </c>
      <c r="W40" s="700"/>
      <c r="X40" s="700"/>
      <c r="Y40" s="702"/>
      <c r="Z40" s="25"/>
      <c r="AA40" s="242"/>
      <c r="AC40" s="207"/>
      <c r="AD40" s="207"/>
      <c r="AF40" s="208"/>
      <c r="AG40" s="208"/>
    </row>
    <row r="41" spans="2:42" s="192" customFormat="1" ht="20.100000000000001" customHeight="1" x14ac:dyDescent="0.2">
      <c r="C41" s="703" t="s">
        <v>306</v>
      </c>
      <c r="D41" s="703"/>
      <c r="E41" s="703"/>
      <c r="F41" s="703"/>
      <c r="G41" s="704">
        <f>(G34+W34)/(D34+T34)</f>
        <v>0.85563380281690138</v>
      </c>
      <c r="H41" s="705"/>
      <c r="J41" s="696" t="s">
        <v>306</v>
      </c>
      <c r="K41" s="697"/>
      <c r="L41" s="697"/>
      <c r="M41" s="698"/>
      <c r="N41" s="699">
        <f>(D34*M34)+(T34*AC34)</f>
        <v>139.16</v>
      </c>
      <c r="O41" s="700"/>
      <c r="P41" s="700"/>
      <c r="Q41" s="701"/>
      <c r="R41" s="699">
        <f>D34*M34</f>
        <v>96.56</v>
      </c>
      <c r="S41" s="700"/>
      <c r="T41" s="700"/>
      <c r="U41" s="702"/>
      <c r="V41" s="699">
        <f>T34*AC34</f>
        <v>42.6</v>
      </c>
      <c r="W41" s="700"/>
      <c r="X41" s="700"/>
      <c r="Y41" s="702"/>
      <c r="Z41" s="25"/>
      <c r="AA41" s="242"/>
      <c r="AC41" s="207"/>
      <c r="AD41" s="207"/>
      <c r="AF41" s="208"/>
      <c r="AG41" s="208"/>
    </row>
    <row r="42" spans="2:42" s="192" customFormat="1" ht="20.100000000000001" customHeight="1" x14ac:dyDescent="0.2">
      <c r="C42" s="730" t="s">
        <v>4</v>
      </c>
      <c r="D42" s="731"/>
      <c r="E42" s="731"/>
      <c r="F42" s="732"/>
      <c r="G42" s="733">
        <f>(G31+G32+G33+G34+W31+W32+W33+W34)/(D31+D32+D33+D34+T31+T32+T33+T34)</f>
        <v>0.89918699186991868</v>
      </c>
      <c r="H42" s="734"/>
      <c r="J42" s="735" t="s">
        <v>4</v>
      </c>
      <c r="K42" s="736"/>
      <c r="L42" s="736"/>
      <c r="M42" s="737"/>
      <c r="N42" s="738">
        <f>SUM(N38:Q41)</f>
        <v>387.46349999999995</v>
      </c>
      <c r="O42" s="739"/>
      <c r="P42" s="739"/>
      <c r="Q42" s="740"/>
      <c r="R42" s="738">
        <f>SUM(R38:U41)</f>
        <v>295.21350000000001</v>
      </c>
      <c r="S42" s="739"/>
      <c r="T42" s="739"/>
      <c r="U42" s="741"/>
      <c r="V42" s="738">
        <f>SUM(V38:Y41)</f>
        <v>92.25</v>
      </c>
      <c r="W42" s="739"/>
      <c r="X42" s="739"/>
      <c r="Y42" s="741"/>
      <c r="Z42" s="25"/>
      <c r="AA42" s="242"/>
      <c r="AC42" s="207"/>
      <c r="AD42" s="207"/>
      <c r="AF42" s="208"/>
      <c r="AG42" s="208"/>
    </row>
    <row r="44" spans="2:42" s="192" customFormat="1" ht="15" customHeight="1" x14ac:dyDescent="0.3">
      <c r="B44" s="816" t="s">
        <v>262</v>
      </c>
      <c r="C44" s="816"/>
      <c r="D44" s="816"/>
      <c r="E44" s="816"/>
      <c r="F44" s="816"/>
      <c r="G44" s="816"/>
      <c r="H44" s="816"/>
      <c r="I44" s="816"/>
      <c r="J44" s="816"/>
      <c r="K44" s="816"/>
      <c r="L44" s="816"/>
      <c r="M44" s="816"/>
      <c r="N44" s="816"/>
      <c r="O44" s="816"/>
      <c r="P44" s="816"/>
      <c r="Q44" s="816"/>
      <c r="R44" s="816"/>
      <c r="S44" s="816"/>
      <c r="T44" s="816"/>
      <c r="U44" s="816"/>
      <c r="V44" s="816"/>
      <c r="W44" s="816"/>
      <c r="X44" s="816"/>
      <c r="Y44" s="816"/>
      <c r="Z44" s="816"/>
      <c r="AA44" s="816"/>
      <c r="AB44" s="816"/>
      <c r="AC44" s="816"/>
      <c r="AD44" s="816"/>
      <c r="AE44" s="816"/>
    </row>
    <row r="45" spans="2:42" s="192" customFormat="1" ht="15" customHeight="1" x14ac:dyDescent="0.25">
      <c r="B45" s="277"/>
      <c r="D45" s="193"/>
      <c r="E45" s="193"/>
    </row>
    <row r="46" spans="2:42" ht="15" customHeight="1" x14ac:dyDescent="0.25">
      <c r="B46" s="277" t="s">
        <v>567</v>
      </c>
    </row>
    <row r="48" spans="2:42" ht="24.95" customHeight="1" x14ac:dyDescent="0.25">
      <c r="B48" s="612" t="s">
        <v>593</v>
      </c>
      <c r="C48" s="613"/>
      <c r="D48" s="613"/>
      <c r="E48" s="614"/>
      <c r="G48" s="692" t="s">
        <v>271</v>
      </c>
      <c r="H48" s="692"/>
      <c r="I48" s="692"/>
      <c r="J48" s="692"/>
      <c r="K48" s="692"/>
      <c r="L48" s="692"/>
      <c r="M48" s="49"/>
      <c r="O48" s="639" t="s">
        <v>371</v>
      </c>
      <c r="P48" s="639"/>
      <c r="Q48" s="639"/>
      <c r="R48" s="639"/>
      <c r="S48" s="639"/>
      <c r="T48" s="639"/>
      <c r="U48" s="639"/>
      <c r="V48" s="639"/>
      <c r="W48" s="639"/>
      <c r="X48" s="639"/>
      <c r="Y48" s="639"/>
      <c r="Z48" s="2"/>
      <c r="AA48" s="858" t="s">
        <v>544</v>
      </c>
      <c r="AB48" s="859"/>
      <c r="AC48" s="247"/>
      <c r="AD48" s="247"/>
      <c r="AE48" s="247"/>
      <c r="AF48" s="247"/>
      <c r="AG48" s="247"/>
      <c r="AI48" s="827" t="s">
        <v>550</v>
      </c>
      <c r="AJ48" s="827"/>
      <c r="AK48" s="237" t="s">
        <v>551</v>
      </c>
      <c r="AL48" s="237" t="s">
        <v>554</v>
      </c>
      <c r="AM48" s="237" t="s">
        <v>549</v>
      </c>
      <c r="AN48" s="237" t="s">
        <v>553</v>
      </c>
      <c r="AO48" s="237" t="s">
        <v>453</v>
      </c>
      <c r="AP48" s="237" t="s">
        <v>552</v>
      </c>
    </row>
    <row r="49" spans="2:42" ht="31.5" customHeight="1" x14ac:dyDescent="0.25">
      <c r="B49" s="615" t="s">
        <v>581</v>
      </c>
      <c r="C49" s="616"/>
      <c r="D49" s="616"/>
      <c r="E49" s="617"/>
      <c r="G49" s="692"/>
      <c r="H49" s="692"/>
      <c r="I49" s="692"/>
      <c r="J49" s="692"/>
      <c r="K49" s="692"/>
      <c r="L49" s="692"/>
      <c r="M49" s="49"/>
      <c r="O49" s="748" t="s">
        <v>311</v>
      </c>
      <c r="P49" s="748"/>
      <c r="Q49" s="748"/>
      <c r="R49" s="748"/>
      <c r="S49" s="748"/>
      <c r="T49" s="643" t="s">
        <v>555</v>
      </c>
      <c r="U49" s="864"/>
      <c r="V49" s="644"/>
      <c r="W49" s="633" t="s">
        <v>594</v>
      </c>
      <c r="X49" s="642"/>
      <c r="Y49" s="634"/>
      <c r="Z49" s="48"/>
      <c r="AA49" s="860"/>
      <c r="AB49" s="861"/>
      <c r="AC49" s="247"/>
      <c r="AD49" s="247"/>
      <c r="AE49" s="247"/>
      <c r="AF49" s="247"/>
      <c r="AG49" s="247"/>
      <c r="AI49" s="805" t="s">
        <v>31</v>
      </c>
      <c r="AJ49" s="805"/>
      <c r="AK49" s="202">
        <f>CADASTRO!BS17</f>
        <v>268</v>
      </c>
      <c r="AL49" s="203">
        <f t="shared" ref="AL49:AL55" si="1">AK49*D52</f>
        <v>2.1440000000000001</v>
      </c>
      <c r="AM49" s="204">
        <f>AL49*20%</f>
        <v>0.42880000000000007</v>
      </c>
      <c r="AN49" s="204">
        <f>AL49*50%</f>
        <v>1.0720000000000001</v>
      </c>
      <c r="AO49" s="204">
        <f>AL49*25%</f>
        <v>0.53600000000000003</v>
      </c>
      <c r="AP49" s="204">
        <f>AL49*5%</f>
        <v>0.10720000000000002</v>
      </c>
    </row>
    <row r="50" spans="2:42" ht="27.75" customHeight="1" x14ac:dyDescent="0.25">
      <c r="B50" s="192"/>
      <c r="C50" s="192"/>
      <c r="D50" s="192"/>
      <c r="E50" s="192"/>
      <c r="F50" s="192"/>
      <c r="G50" s="49"/>
      <c r="H50" s="49"/>
      <c r="I50" s="49"/>
      <c r="J50" s="49"/>
      <c r="K50" s="49"/>
      <c r="L50" s="49"/>
      <c r="M50" s="49"/>
      <c r="O50" s="693" t="s">
        <v>694</v>
      </c>
      <c r="P50" s="694"/>
      <c r="Q50" s="695">
        <f>AO49+AP49+AO50+AP50+AO51+AP51+AO52+AP52+AO53+AP53</f>
        <v>33.613199999999999</v>
      </c>
      <c r="R50" s="695"/>
      <c r="S50" s="695"/>
      <c r="T50" s="764">
        <v>30</v>
      </c>
      <c r="U50" s="765"/>
      <c r="V50" s="766"/>
      <c r="W50" s="726">
        <f>T50/Q50</f>
        <v>0.89250651529756164</v>
      </c>
      <c r="X50" s="726"/>
      <c r="Y50" s="726"/>
      <c r="Z50" s="60"/>
      <c r="AA50" s="862">
        <v>1</v>
      </c>
      <c r="AB50" s="863"/>
      <c r="AC50" s="248"/>
      <c r="AD50" s="248"/>
      <c r="AE50" s="248"/>
      <c r="AF50" s="248"/>
      <c r="AG50" s="248"/>
      <c r="AI50" s="805" t="s">
        <v>489</v>
      </c>
      <c r="AJ50" s="805"/>
      <c r="AK50" s="202">
        <f>CADASTRO!BS18+CADASTRO!BS19</f>
        <v>532</v>
      </c>
      <c r="AL50" s="203">
        <f t="shared" si="1"/>
        <v>10.108000000000001</v>
      </c>
      <c r="AM50" s="204">
        <f t="shared" ref="AM50:AM56" si="2">AL50*20%</f>
        <v>2.0216000000000003</v>
      </c>
      <c r="AN50" s="204">
        <f t="shared" ref="AN50:AN55" si="3">AL50*50%</f>
        <v>5.0540000000000003</v>
      </c>
      <c r="AO50" s="204">
        <f t="shared" ref="AO50:AO55" si="4">AL50*25%</f>
        <v>2.5270000000000001</v>
      </c>
      <c r="AP50" s="204">
        <f t="shared" ref="AP50:AP55" si="5">AL50*5%</f>
        <v>0.50540000000000007</v>
      </c>
    </row>
    <row r="51" spans="2:42" ht="33.75" customHeight="1" x14ac:dyDescent="0.25">
      <c r="B51" s="618" t="s">
        <v>263</v>
      </c>
      <c r="C51" s="619"/>
      <c r="D51" s="618" t="s">
        <v>264</v>
      </c>
      <c r="E51" s="619"/>
      <c r="F51" s="285"/>
      <c r="G51" s="611" t="s">
        <v>631</v>
      </c>
      <c r="H51" s="611"/>
      <c r="I51" s="611"/>
      <c r="J51" s="611" t="s">
        <v>484</v>
      </c>
      <c r="K51" s="611"/>
      <c r="L51" s="611"/>
      <c r="M51" s="192"/>
      <c r="O51" s="693" t="s">
        <v>695</v>
      </c>
      <c r="P51" s="694"/>
      <c r="Q51" s="695">
        <f>AM49+AN49+AN50+AM50+AM51+AN51+AM52+AM53+AN52+AN53</f>
        <v>78.430800000000005</v>
      </c>
      <c r="R51" s="695"/>
      <c r="S51" s="695"/>
      <c r="T51" s="764">
        <v>70</v>
      </c>
      <c r="U51" s="765"/>
      <c r="V51" s="766"/>
      <c r="W51" s="726">
        <f>T51/Q51</f>
        <v>0.89250651529756164</v>
      </c>
      <c r="X51" s="726"/>
      <c r="Y51" s="726"/>
      <c r="Z51" s="60"/>
      <c r="AA51" s="862">
        <v>0.5</v>
      </c>
      <c r="AB51" s="863"/>
      <c r="AC51" s="248"/>
      <c r="AD51" s="248"/>
      <c r="AE51" s="248"/>
      <c r="AF51" s="248"/>
      <c r="AG51" s="248"/>
      <c r="AI51" s="805" t="s">
        <v>490</v>
      </c>
      <c r="AJ51" s="805"/>
      <c r="AK51" s="202">
        <f>CADASTRO!BS20+CADASTRO!BS21</f>
        <v>463</v>
      </c>
      <c r="AL51" s="203">
        <f t="shared" si="1"/>
        <v>16.667999999999999</v>
      </c>
      <c r="AM51" s="204">
        <f t="shared" si="2"/>
        <v>3.3336000000000001</v>
      </c>
      <c r="AN51" s="204">
        <f t="shared" si="3"/>
        <v>8.3339999999999996</v>
      </c>
      <c r="AO51" s="204">
        <f t="shared" si="4"/>
        <v>4.1669999999999998</v>
      </c>
      <c r="AP51" s="204">
        <f t="shared" si="5"/>
        <v>0.83340000000000003</v>
      </c>
    </row>
    <row r="52" spans="2:42" ht="33.75" customHeight="1" x14ac:dyDescent="0.25">
      <c r="B52" s="618" t="s">
        <v>31</v>
      </c>
      <c r="C52" s="619"/>
      <c r="D52" s="620">
        <v>8.0000000000000002E-3</v>
      </c>
      <c r="E52" s="621"/>
      <c r="F52" s="285"/>
      <c r="G52" s="611" t="s">
        <v>632</v>
      </c>
      <c r="H52" s="611"/>
      <c r="I52" s="611"/>
      <c r="J52" s="611" t="s">
        <v>485</v>
      </c>
      <c r="K52" s="611"/>
      <c r="L52" s="611"/>
      <c r="M52" s="206"/>
      <c r="O52" s="693" t="s">
        <v>696</v>
      </c>
      <c r="P52" s="694"/>
      <c r="Q52" s="695">
        <f>AO54+AO55+AP54+AP55</f>
        <v>8.7570000000000014</v>
      </c>
      <c r="R52" s="695"/>
      <c r="S52" s="695"/>
      <c r="T52" s="764">
        <v>9</v>
      </c>
      <c r="U52" s="765"/>
      <c r="V52" s="766"/>
      <c r="W52" s="726">
        <f>T52/Q52</f>
        <v>1.0277492291880779</v>
      </c>
      <c r="X52" s="726"/>
      <c r="Y52" s="726"/>
      <c r="Z52" s="60"/>
      <c r="AA52" s="862">
        <v>1</v>
      </c>
      <c r="AB52" s="863"/>
      <c r="AC52" s="248"/>
      <c r="AD52" s="248"/>
      <c r="AE52" s="248"/>
      <c r="AF52" s="248"/>
      <c r="AG52" s="248"/>
      <c r="AI52" s="805" t="s">
        <v>493</v>
      </c>
      <c r="AJ52" s="805"/>
      <c r="AK52" s="202">
        <f>CADASTRO!BS22+CADASTRO!BS23</f>
        <v>447</v>
      </c>
      <c r="AL52" s="203">
        <f t="shared" si="1"/>
        <v>41.124000000000002</v>
      </c>
      <c r="AM52" s="204">
        <f t="shared" si="2"/>
        <v>8.2248000000000001</v>
      </c>
      <c r="AN52" s="204">
        <f t="shared" si="3"/>
        <v>20.562000000000001</v>
      </c>
      <c r="AO52" s="204">
        <f t="shared" si="4"/>
        <v>10.281000000000001</v>
      </c>
      <c r="AP52" s="204">
        <f t="shared" si="5"/>
        <v>2.0562</v>
      </c>
    </row>
    <row r="53" spans="2:42" ht="33.75" customHeight="1" x14ac:dyDescent="0.25">
      <c r="B53" s="618" t="s">
        <v>489</v>
      </c>
      <c r="C53" s="619"/>
      <c r="D53" s="620">
        <v>1.9E-2</v>
      </c>
      <c r="E53" s="621"/>
      <c r="F53" s="285"/>
      <c r="G53" s="611" t="s">
        <v>619</v>
      </c>
      <c r="H53" s="611"/>
      <c r="I53" s="611"/>
      <c r="J53" s="611" t="s">
        <v>486</v>
      </c>
      <c r="K53" s="611"/>
      <c r="L53" s="611"/>
      <c r="M53" s="206"/>
      <c r="O53" s="693" t="s">
        <v>697</v>
      </c>
      <c r="P53" s="694"/>
      <c r="Q53" s="695">
        <f>AM54+AM55+AN54+AN55</f>
        <v>20.433</v>
      </c>
      <c r="R53" s="695"/>
      <c r="S53" s="695"/>
      <c r="T53" s="764">
        <v>20</v>
      </c>
      <c r="U53" s="765"/>
      <c r="V53" s="766"/>
      <c r="W53" s="726">
        <f>T53/Q53</f>
        <v>0.9788087897029315</v>
      </c>
      <c r="X53" s="726"/>
      <c r="Y53" s="726"/>
      <c r="Z53" s="60"/>
      <c r="AA53" s="862">
        <v>0.7</v>
      </c>
      <c r="AB53" s="863"/>
      <c r="AC53" s="248"/>
      <c r="AD53" s="248"/>
      <c r="AE53" s="248"/>
      <c r="AF53" s="248"/>
      <c r="AG53" s="248"/>
      <c r="AI53" s="805" t="s">
        <v>38</v>
      </c>
      <c r="AJ53" s="805"/>
      <c r="AK53" s="202">
        <f>CADASTRO!BS24</f>
        <v>250</v>
      </c>
      <c r="AL53" s="203">
        <f t="shared" si="1"/>
        <v>42</v>
      </c>
      <c r="AM53" s="204">
        <f t="shared" si="2"/>
        <v>8.4</v>
      </c>
      <c r="AN53" s="204">
        <f t="shared" si="3"/>
        <v>21</v>
      </c>
      <c r="AO53" s="204">
        <f t="shared" si="4"/>
        <v>10.5</v>
      </c>
      <c r="AP53" s="204">
        <f t="shared" si="5"/>
        <v>2.1</v>
      </c>
    </row>
    <row r="54" spans="2:42" ht="33.75" customHeight="1" x14ac:dyDescent="0.25">
      <c r="B54" s="618" t="s">
        <v>490</v>
      </c>
      <c r="C54" s="619"/>
      <c r="D54" s="620">
        <v>3.5999999999999997E-2</v>
      </c>
      <c r="E54" s="621"/>
      <c r="F54" s="285"/>
      <c r="G54" s="611" t="s">
        <v>633</v>
      </c>
      <c r="H54" s="611"/>
      <c r="I54" s="611"/>
      <c r="J54" s="611" t="s">
        <v>487</v>
      </c>
      <c r="K54" s="611"/>
      <c r="L54" s="611"/>
      <c r="M54" s="206"/>
      <c r="O54" s="828" t="s">
        <v>4</v>
      </c>
      <c r="P54" s="829"/>
      <c r="Q54" s="598">
        <f>SUM(Q50:S53)</f>
        <v>141.23400000000001</v>
      </c>
      <c r="R54" s="598"/>
      <c r="S54" s="598"/>
      <c r="T54" s="598">
        <f>SUM(T50:V53)</f>
        <v>129</v>
      </c>
      <c r="U54" s="598"/>
      <c r="V54" s="598"/>
      <c r="W54" s="726">
        <f>T54/Q54</f>
        <v>0.913377798547092</v>
      </c>
      <c r="X54" s="726"/>
      <c r="Y54" s="726"/>
      <c r="AI54" s="744" t="s">
        <v>492</v>
      </c>
      <c r="AJ54" s="744"/>
      <c r="AK54" s="198">
        <f>CADASTRO!BS27</f>
        <v>50</v>
      </c>
      <c r="AL54" s="200">
        <f t="shared" si="1"/>
        <v>8.4</v>
      </c>
      <c r="AM54" s="246">
        <f t="shared" si="2"/>
        <v>1.6800000000000002</v>
      </c>
      <c r="AN54" s="246">
        <f t="shared" si="3"/>
        <v>4.2</v>
      </c>
      <c r="AO54" s="246">
        <f t="shared" si="4"/>
        <v>2.1</v>
      </c>
      <c r="AP54" s="246">
        <f t="shared" si="5"/>
        <v>0.42000000000000004</v>
      </c>
    </row>
    <row r="55" spans="2:42" ht="33.75" customHeight="1" x14ac:dyDescent="0.25">
      <c r="B55" s="618" t="s">
        <v>493</v>
      </c>
      <c r="C55" s="619"/>
      <c r="D55" s="620">
        <v>9.1999999999999998E-2</v>
      </c>
      <c r="E55" s="621"/>
      <c r="F55" s="285"/>
      <c r="G55" s="192"/>
      <c r="H55" s="192"/>
      <c r="I55" s="192"/>
      <c r="J55" s="192"/>
      <c r="K55" s="192"/>
      <c r="L55" s="192"/>
      <c r="M55" s="206"/>
      <c r="AI55" s="744" t="s">
        <v>491</v>
      </c>
      <c r="AJ55" s="744"/>
      <c r="AK55" s="198">
        <f>CADASTRO!BS28+CADASTRO!BS29+CADASTRO!BS30+CADASTRO!BS31</f>
        <v>90</v>
      </c>
      <c r="AL55" s="200">
        <f t="shared" si="1"/>
        <v>20.790000000000003</v>
      </c>
      <c r="AM55" s="246">
        <f t="shared" si="2"/>
        <v>4.1580000000000004</v>
      </c>
      <c r="AN55" s="246">
        <f t="shared" si="3"/>
        <v>10.395000000000001</v>
      </c>
      <c r="AO55" s="246">
        <f t="shared" si="4"/>
        <v>5.1975000000000007</v>
      </c>
      <c r="AP55" s="246">
        <f t="shared" si="5"/>
        <v>1.0395000000000001</v>
      </c>
    </row>
    <row r="56" spans="2:42" ht="43.5" customHeight="1" x14ac:dyDescent="0.25">
      <c r="B56" s="618" t="s">
        <v>38</v>
      </c>
      <c r="C56" s="619"/>
      <c r="D56" s="620">
        <v>0.16800000000000001</v>
      </c>
      <c r="E56" s="621"/>
      <c r="F56" s="193"/>
      <c r="G56" s="599" t="s">
        <v>472</v>
      </c>
      <c r="H56" s="600"/>
      <c r="I56" s="601"/>
      <c r="J56" s="605" t="s">
        <v>494</v>
      </c>
      <c r="K56" s="606"/>
      <c r="L56" s="607"/>
      <c r="M56" s="193"/>
      <c r="O56" s="830" t="s">
        <v>595</v>
      </c>
      <c r="P56" s="831"/>
      <c r="Q56" s="831"/>
      <c r="R56" s="831"/>
      <c r="S56" s="831"/>
      <c r="T56" s="831"/>
      <c r="U56" s="831"/>
      <c r="V56" s="831"/>
      <c r="W56" s="831"/>
      <c r="X56" s="831"/>
      <c r="Y56" s="831"/>
      <c r="Z56" s="832"/>
      <c r="AI56" s="22"/>
      <c r="AJ56" s="22"/>
      <c r="AK56" s="197">
        <f>SUM(AK49:AK55)</f>
        <v>2100</v>
      </c>
      <c r="AL56" s="197">
        <f>SUM(AL49:AL55)</f>
        <v>141.23400000000001</v>
      </c>
      <c r="AM56" s="246">
        <f t="shared" si="2"/>
        <v>28.246800000000004</v>
      </c>
      <c r="AN56" s="246">
        <f>AL56*50%</f>
        <v>70.617000000000004</v>
      </c>
      <c r="AO56" s="246">
        <f>AL56*25%</f>
        <v>35.308500000000002</v>
      </c>
      <c r="AP56" s="246">
        <f>AL56*5%</f>
        <v>7.061700000000001</v>
      </c>
    </row>
    <row r="57" spans="2:42" ht="32.25" customHeight="1" x14ac:dyDescent="0.25">
      <c r="B57" s="618" t="s">
        <v>492</v>
      </c>
      <c r="C57" s="619"/>
      <c r="D57" s="620">
        <v>0.16800000000000001</v>
      </c>
      <c r="E57" s="621"/>
      <c r="F57" s="286"/>
      <c r="G57" s="602"/>
      <c r="H57" s="603"/>
      <c r="I57" s="604"/>
      <c r="J57" s="608"/>
      <c r="K57" s="609"/>
      <c r="L57" s="610"/>
      <c r="M57" s="206"/>
      <c r="O57" s="833" t="s">
        <v>49</v>
      </c>
      <c r="P57" s="834"/>
      <c r="Q57" s="833" t="s">
        <v>634</v>
      </c>
      <c r="R57" s="834"/>
      <c r="S57" s="835" t="s">
        <v>635</v>
      </c>
      <c r="T57" s="836"/>
      <c r="U57" s="835" t="s">
        <v>636</v>
      </c>
      <c r="V57" s="836"/>
      <c r="W57" s="637" t="s">
        <v>637</v>
      </c>
      <c r="X57" s="638"/>
      <c r="Y57" s="637" t="s">
        <v>4</v>
      </c>
      <c r="Z57" s="638"/>
    </row>
    <row r="58" spans="2:42" ht="41.25" customHeight="1" x14ac:dyDescent="0.25">
      <c r="B58" s="618" t="s">
        <v>491</v>
      </c>
      <c r="C58" s="619"/>
      <c r="D58" s="620">
        <v>0.23100000000000001</v>
      </c>
      <c r="E58" s="621"/>
      <c r="F58" s="286"/>
      <c r="G58" s="600" t="s">
        <v>359</v>
      </c>
      <c r="H58" s="600"/>
      <c r="I58" s="600"/>
      <c r="J58" s="600"/>
      <c r="K58" s="600"/>
      <c r="L58" s="600"/>
      <c r="M58" s="206"/>
      <c r="O58" s="591" t="s">
        <v>699</v>
      </c>
      <c r="P58" s="592"/>
      <c r="Q58" s="591">
        <f>(AP49+AP50+AP51+AP52+AP53)*AA50</f>
        <v>5.6021999999999998</v>
      </c>
      <c r="R58" s="592"/>
      <c r="S58" s="754">
        <f>(AO49+AO50+AO51+AO52+AO53)*AA52</f>
        <v>28.011000000000003</v>
      </c>
      <c r="T58" s="755"/>
      <c r="U58" s="591">
        <f>(AN49+AN50+AN51+AN52+AN53)*AA51</f>
        <v>28.011000000000003</v>
      </c>
      <c r="V58" s="592"/>
      <c r="W58" s="591">
        <f>(AM49+AM50+AM51+AM52+AM53)*AA51</f>
        <v>11.2044</v>
      </c>
      <c r="X58" s="755"/>
      <c r="Y58" s="756">
        <f>SUM(Q58:X58)</f>
        <v>72.828600000000009</v>
      </c>
      <c r="Z58" s="757"/>
    </row>
    <row r="59" spans="2:42" ht="24.95" customHeight="1" x14ac:dyDescent="0.25">
      <c r="O59" s="758" t="s">
        <v>698</v>
      </c>
      <c r="P59" s="759"/>
      <c r="Q59" s="758">
        <f>(AP54+AP55)*AA52</f>
        <v>1.4595000000000002</v>
      </c>
      <c r="R59" s="759"/>
      <c r="S59" s="760">
        <f>(AO54+AO55)*AA52</f>
        <v>7.2975000000000012</v>
      </c>
      <c r="T59" s="761"/>
      <c r="U59" s="758">
        <f>(AN54+AN55)*AA53</f>
        <v>10.216500000000002</v>
      </c>
      <c r="V59" s="759"/>
      <c r="W59" s="758">
        <v>12.423600000000002</v>
      </c>
      <c r="X59" s="759"/>
      <c r="Y59" s="762">
        <f>SUM(Q59:X59)</f>
        <v>31.397100000000002</v>
      </c>
      <c r="Z59" s="763"/>
    </row>
    <row r="62" spans="2:42" s="192" customFormat="1" ht="15" customHeight="1" x14ac:dyDescent="0.3">
      <c r="B62" s="816" t="s">
        <v>272</v>
      </c>
      <c r="C62" s="816"/>
      <c r="D62" s="816"/>
      <c r="E62" s="816"/>
      <c r="F62" s="816"/>
      <c r="G62" s="816"/>
      <c r="H62" s="816"/>
      <c r="I62" s="816"/>
      <c r="J62" s="816"/>
      <c r="K62" s="816"/>
      <c r="L62" s="816"/>
      <c r="M62" s="816"/>
      <c r="N62" s="816"/>
      <c r="O62" s="816"/>
      <c r="P62" s="816"/>
      <c r="Q62" s="816"/>
      <c r="R62" s="816"/>
      <c r="S62" s="816"/>
      <c r="T62" s="816"/>
      <c r="U62" s="816"/>
      <c r="V62" s="816"/>
      <c r="W62" s="816"/>
      <c r="X62" s="816"/>
      <c r="Y62" s="816"/>
      <c r="Z62" s="816"/>
      <c r="AA62" s="816"/>
      <c r="AB62" s="816"/>
      <c r="AC62" s="816"/>
      <c r="AD62" s="816"/>
      <c r="AE62" s="816"/>
    </row>
    <row r="63" spans="2:42" s="192" customFormat="1" ht="15" customHeight="1" x14ac:dyDescent="0.25">
      <c r="B63" s="277"/>
      <c r="D63" s="193"/>
      <c r="E63" s="193"/>
    </row>
    <row r="64" spans="2:42" ht="15" customHeight="1" x14ac:dyDescent="0.25">
      <c r="B64" s="277" t="s">
        <v>567</v>
      </c>
    </row>
    <row r="66" spans="2:41" ht="24.95" customHeight="1" x14ac:dyDescent="0.25">
      <c r="B66" s="612" t="s">
        <v>593</v>
      </c>
      <c r="C66" s="613"/>
      <c r="D66" s="613"/>
      <c r="E66" s="614"/>
      <c r="G66" s="692" t="s">
        <v>596</v>
      </c>
      <c r="H66" s="692"/>
      <c r="I66" s="692"/>
      <c r="J66" s="692"/>
      <c r="K66" s="692"/>
      <c r="L66" s="692"/>
      <c r="M66" s="49"/>
      <c r="O66" s="639" t="s">
        <v>597</v>
      </c>
      <c r="P66" s="639"/>
      <c r="Q66" s="639"/>
      <c r="R66" s="639"/>
      <c r="S66" s="639"/>
      <c r="T66" s="639"/>
      <c r="U66" s="639"/>
      <c r="V66" s="639"/>
      <c r="W66" s="639"/>
      <c r="X66" s="639"/>
      <c r="Z66" s="640" t="s">
        <v>556</v>
      </c>
      <c r="AA66" s="640"/>
      <c r="AI66" s="827" t="s">
        <v>550</v>
      </c>
      <c r="AJ66" s="827"/>
      <c r="AK66" s="237" t="s">
        <v>551</v>
      </c>
      <c r="AL66" s="237" t="s">
        <v>562</v>
      </c>
      <c r="AM66" s="237" t="s">
        <v>563</v>
      </c>
      <c r="AN66" s="237" t="s">
        <v>553</v>
      </c>
      <c r="AO66" s="237" t="s">
        <v>453</v>
      </c>
    </row>
    <row r="67" spans="2:41" ht="33" customHeight="1" x14ac:dyDescent="0.25">
      <c r="B67" s="615" t="s">
        <v>581</v>
      </c>
      <c r="C67" s="616"/>
      <c r="D67" s="616"/>
      <c r="E67" s="617"/>
      <c r="G67" s="692"/>
      <c r="H67" s="692"/>
      <c r="I67" s="692"/>
      <c r="J67" s="692"/>
      <c r="K67" s="692"/>
      <c r="L67" s="692"/>
      <c r="M67" s="49"/>
      <c r="O67" s="641" t="s">
        <v>329</v>
      </c>
      <c r="P67" s="641"/>
      <c r="Q67" s="641"/>
      <c r="R67" s="641"/>
      <c r="S67" s="633" t="s">
        <v>558</v>
      </c>
      <c r="T67" s="642"/>
      <c r="U67" s="642"/>
      <c r="V67" s="634"/>
      <c r="W67" s="643" t="s">
        <v>594</v>
      </c>
      <c r="X67" s="644"/>
      <c r="Z67" s="640"/>
      <c r="AA67" s="640"/>
      <c r="AI67" s="805" t="s">
        <v>31</v>
      </c>
      <c r="AJ67" s="805"/>
      <c r="AK67" s="202">
        <f>CADASTRO!BS17</f>
        <v>268</v>
      </c>
      <c r="AL67" s="203">
        <f>AK67*D70</f>
        <v>10.72</v>
      </c>
      <c r="AM67" s="204">
        <f>AL67*40%</f>
        <v>4.2880000000000003</v>
      </c>
      <c r="AN67" s="204">
        <f>AL67*35%</f>
        <v>3.7519999999999998</v>
      </c>
      <c r="AO67" s="204">
        <f>AL67*25%</f>
        <v>2.68</v>
      </c>
    </row>
    <row r="68" spans="2:41" ht="24.95" customHeight="1" x14ac:dyDescent="0.25">
      <c r="B68" s="192"/>
      <c r="C68" s="192"/>
      <c r="D68" s="192"/>
      <c r="E68" s="192"/>
      <c r="F68" s="192"/>
      <c r="G68" s="49"/>
      <c r="H68" s="49"/>
      <c r="I68" s="49"/>
      <c r="J68" s="49"/>
      <c r="K68" s="49"/>
      <c r="L68" s="49"/>
      <c r="M68" s="49"/>
      <c r="O68" s="645" t="s">
        <v>700</v>
      </c>
      <c r="P68" s="645"/>
      <c r="Q68" s="646">
        <f>AO67+AO68+AO69+AO70+AO71</f>
        <v>100.20725</v>
      </c>
      <c r="R68" s="647"/>
      <c r="S68" s="648">
        <v>100</v>
      </c>
      <c r="T68" s="648"/>
      <c r="U68" s="648"/>
      <c r="V68" s="648"/>
      <c r="W68" s="649">
        <f t="shared" ref="W68:W73" si="6">S68/Q68</f>
        <v>0.99793178637274249</v>
      </c>
      <c r="X68" s="650"/>
      <c r="Z68" s="590">
        <v>1</v>
      </c>
      <c r="AA68" s="590"/>
      <c r="AI68" s="805" t="s">
        <v>489</v>
      </c>
      <c r="AJ68" s="805"/>
      <c r="AK68" s="202">
        <f>CADASTRO!BS18+CADASTRO!BS19</f>
        <v>532</v>
      </c>
      <c r="AL68" s="203">
        <f t="shared" ref="AL68:AL73" si="7">AK68*D71</f>
        <v>41.496000000000002</v>
      </c>
      <c r="AM68" s="204">
        <f t="shared" ref="AM68:AM73" si="8">AL68*40%</f>
        <v>16.598400000000002</v>
      </c>
      <c r="AN68" s="204">
        <f t="shared" ref="AN68:AN73" si="9">AL68*35%</f>
        <v>14.5236</v>
      </c>
      <c r="AO68" s="204">
        <f t="shared" ref="AO68:AO73" si="10">AL68*25%</f>
        <v>10.374000000000001</v>
      </c>
    </row>
    <row r="69" spans="2:41" ht="24.95" customHeight="1" x14ac:dyDescent="0.25">
      <c r="B69" s="618" t="s">
        <v>263</v>
      </c>
      <c r="C69" s="619"/>
      <c r="D69" s="618" t="s">
        <v>264</v>
      </c>
      <c r="E69" s="619"/>
      <c r="F69" s="285"/>
      <c r="G69" s="782" t="s">
        <v>631</v>
      </c>
      <c r="H69" s="622"/>
      <c r="I69" s="622"/>
      <c r="J69" s="622" t="s">
        <v>560</v>
      </c>
      <c r="K69" s="622"/>
      <c r="L69" s="623"/>
      <c r="M69" s="192"/>
      <c r="O69" s="645" t="s">
        <v>695</v>
      </c>
      <c r="P69" s="645"/>
      <c r="Q69" s="806">
        <f>AM67+AM68+AM69+AM70+AM71+AN67+AN68+AN69+AN70+AN71</f>
        <v>300.62175000000002</v>
      </c>
      <c r="R69" s="807"/>
      <c r="S69" s="808">
        <v>301</v>
      </c>
      <c r="T69" s="808"/>
      <c r="U69" s="808"/>
      <c r="V69" s="808"/>
      <c r="W69" s="803">
        <f>S69/Q69</f>
        <v>1.0012582256606515</v>
      </c>
      <c r="X69" s="804"/>
      <c r="Z69" s="810">
        <v>0.5</v>
      </c>
      <c r="AA69" s="810"/>
      <c r="AI69" s="805" t="s">
        <v>490</v>
      </c>
      <c r="AJ69" s="805"/>
      <c r="AK69" s="202">
        <f>CADASTRO!BS20+CADASTRO!BS21</f>
        <v>463</v>
      </c>
      <c r="AL69" s="203">
        <f t="shared" si="7"/>
        <v>78.247</v>
      </c>
      <c r="AM69" s="204">
        <f t="shared" si="8"/>
        <v>31.2988</v>
      </c>
      <c r="AN69" s="204">
        <f t="shared" si="9"/>
        <v>27.38645</v>
      </c>
      <c r="AO69" s="204">
        <f t="shared" si="10"/>
        <v>19.56175</v>
      </c>
    </row>
    <row r="70" spans="2:41" ht="24.95" customHeight="1" x14ac:dyDescent="0.25">
      <c r="B70" s="618" t="s">
        <v>31</v>
      </c>
      <c r="C70" s="619"/>
      <c r="D70" s="626">
        <v>0.04</v>
      </c>
      <c r="E70" s="627"/>
      <c r="F70" s="285"/>
      <c r="G70" s="743" t="s">
        <v>632</v>
      </c>
      <c r="H70" s="744"/>
      <c r="I70" s="744"/>
      <c r="J70" s="744" t="s">
        <v>561</v>
      </c>
      <c r="K70" s="744"/>
      <c r="L70" s="795"/>
      <c r="M70" s="206"/>
      <c r="O70" s="622" t="s">
        <v>701</v>
      </c>
      <c r="P70" s="622"/>
      <c r="Q70" s="806">
        <f>AO72+AO73</f>
        <v>19.89</v>
      </c>
      <c r="R70" s="807"/>
      <c r="S70" s="808">
        <v>20</v>
      </c>
      <c r="T70" s="808"/>
      <c r="U70" s="808"/>
      <c r="V70" s="808"/>
      <c r="W70" s="803">
        <f t="shared" si="6"/>
        <v>1.0055304172951232</v>
      </c>
      <c r="X70" s="804"/>
      <c r="Z70" s="810">
        <v>1</v>
      </c>
      <c r="AA70" s="810"/>
      <c r="AC70" s="233"/>
      <c r="AD70" s="233"/>
      <c r="AE70" s="233"/>
      <c r="AF70" s="233"/>
      <c r="AG70" s="233"/>
      <c r="AH70" s="233"/>
      <c r="AI70" s="805" t="s">
        <v>493</v>
      </c>
      <c r="AJ70" s="805"/>
      <c r="AK70" s="202">
        <f>CADASTRO!BS22+CADASTRO!BS23</f>
        <v>447</v>
      </c>
      <c r="AL70" s="203">
        <f t="shared" si="7"/>
        <v>146.61600000000001</v>
      </c>
      <c r="AM70" s="204">
        <f t="shared" si="8"/>
        <v>58.646400000000007</v>
      </c>
      <c r="AN70" s="204">
        <f t="shared" si="9"/>
        <v>51.315600000000003</v>
      </c>
      <c r="AO70" s="204">
        <f t="shared" si="10"/>
        <v>36.654000000000003</v>
      </c>
    </row>
    <row r="71" spans="2:41" ht="24.95" customHeight="1" x14ac:dyDescent="0.25">
      <c r="B71" s="618" t="s">
        <v>489</v>
      </c>
      <c r="C71" s="619"/>
      <c r="D71" s="626">
        <v>7.8E-2</v>
      </c>
      <c r="E71" s="627"/>
      <c r="F71" s="285"/>
      <c r="G71" s="767" t="s">
        <v>619</v>
      </c>
      <c r="H71" s="768"/>
      <c r="I71" s="768"/>
      <c r="J71" s="768" t="s">
        <v>557</v>
      </c>
      <c r="K71" s="768"/>
      <c r="L71" s="769"/>
      <c r="M71" s="206"/>
      <c r="O71" s="622" t="s">
        <v>702</v>
      </c>
      <c r="P71" s="622"/>
      <c r="Q71" s="806">
        <f>AM72+AM73+AN72+AN73</f>
        <v>59.67</v>
      </c>
      <c r="R71" s="807"/>
      <c r="S71" s="808">
        <v>60</v>
      </c>
      <c r="T71" s="808"/>
      <c r="U71" s="808"/>
      <c r="V71" s="808"/>
      <c r="W71" s="803">
        <f t="shared" si="6"/>
        <v>1.0055304172951232</v>
      </c>
      <c r="X71" s="804"/>
      <c r="Z71" s="810">
        <v>0.7</v>
      </c>
      <c r="AA71" s="810"/>
      <c r="AC71" s="233"/>
      <c r="AD71" s="233"/>
      <c r="AE71" s="233"/>
      <c r="AF71" s="233"/>
      <c r="AG71" s="233"/>
      <c r="AH71" s="233"/>
      <c r="AI71" s="805" t="s">
        <v>38</v>
      </c>
      <c r="AJ71" s="805"/>
      <c r="AK71" s="202">
        <f>CADASTRO!BS24</f>
        <v>250</v>
      </c>
      <c r="AL71" s="203">
        <f t="shared" si="7"/>
        <v>123.75</v>
      </c>
      <c r="AM71" s="204">
        <f t="shared" si="8"/>
        <v>49.5</v>
      </c>
      <c r="AN71" s="204">
        <f t="shared" si="9"/>
        <v>43.3125</v>
      </c>
      <c r="AO71" s="204">
        <f t="shared" si="10"/>
        <v>30.9375</v>
      </c>
    </row>
    <row r="72" spans="2:41" ht="24.95" customHeight="1" x14ac:dyDescent="0.25">
      <c r="B72" s="618" t="s">
        <v>490</v>
      </c>
      <c r="C72" s="619"/>
      <c r="D72" s="626">
        <v>0.16900000000000001</v>
      </c>
      <c r="E72" s="627"/>
      <c r="F72" s="285"/>
      <c r="G72" s="787" t="s">
        <v>559</v>
      </c>
      <c r="H72" s="787"/>
      <c r="I72" s="787"/>
      <c r="J72" s="787"/>
      <c r="K72" s="787"/>
      <c r="L72" s="787"/>
      <c r="M72" s="206"/>
      <c r="O72" s="622" t="s">
        <v>712</v>
      </c>
      <c r="P72" s="622"/>
      <c r="Q72" s="806">
        <f>Q54*50%</f>
        <v>70.617000000000004</v>
      </c>
      <c r="R72" s="807"/>
      <c r="S72" s="808">
        <v>71</v>
      </c>
      <c r="T72" s="808"/>
      <c r="U72" s="808"/>
      <c r="V72" s="808"/>
      <c r="W72" s="803">
        <f>S72/Q72</f>
        <v>1.0054236232068765</v>
      </c>
      <c r="X72" s="804"/>
      <c r="AI72" s="744" t="s">
        <v>492</v>
      </c>
      <c r="AJ72" s="744"/>
      <c r="AK72" s="198">
        <f>CADASTRO!BS27</f>
        <v>50</v>
      </c>
      <c r="AL72" s="200">
        <f t="shared" si="7"/>
        <v>24.75</v>
      </c>
      <c r="AM72" s="201">
        <f t="shared" si="8"/>
        <v>9.9</v>
      </c>
      <c r="AN72" s="201">
        <f t="shared" si="9"/>
        <v>8.6624999999999996</v>
      </c>
      <c r="AO72" s="201">
        <f t="shared" si="10"/>
        <v>6.1875</v>
      </c>
    </row>
    <row r="73" spans="2:41" ht="24.95" customHeight="1" x14ac:dyDescent="0.25">
      <c r="B73" s="618" t="s">
        <v>493</v>
      </c>
      <c r="C73" s="619"/>
      <c r="D73" s="626">
        <v>0.32800000000000001</v>
      </c>
      <c r="E73" s="627"/>
      <c r="F73" s="285"/>
      <c r="G73" s="491"/>
      <c r="H73" s="491"/>
      <c r="I73" s="491"/>
      <c r="J73" s="491"/>
      <c r="K73" s="491"/>
      <c r="L73" s="491"/>
      <c r="M73" s="206"/>
      <c r="O73" s="797" t="s">
        <v>4</v>
      </c>
      <c r="P73" s="797"/>
      <c r="Q73" s="798">
        <f>Q68+Q69+Q70+Q71</f>
        <v>480.38900000000001</v>
      </c>
      <c r="R73" s="799"/>
      <c r="S73" s="800">
        <f>SUM(S68:V72)</f>
        <v>552</v>
      </c>
      <c r="T73" s="801"/>
      <c r="U73" s="801"/>
      <c r="V73" s="802"/>
      <c r="W73" s="803">
        <f t="shared" si="6"/>
        <v>1.1490687755131779</v>
      </c>
      <c r="X73" s="804"/>
      <c r="AI73" s="744" t="s">
        <v>491</v>
      </c>
      <c r="AJ73" s="744"/>
      <c r="AK73" s="198">
        <f>CADASTRO!BS28+CADASTRO!BS29+CADASTRO!BS30+CADASTRO!BS31</f>
        <v>90</v>
      </c>
      <c r="AL73" s="200">
        <f t="shared" si="7"/>
        <v>54.81</v>
      </c>
      <c r="AM73" s="201">
        <f t="shared" si="8"/>
        <v>21.924000000000003</v>
      </c>
      <c r="AN73" s="201">
        <f t="shared" si="9"/>
        <v>19.183499999999999</v>
      </c>
      <c r="AO73" s="201">
        <f t="shared" si="10"/>
        <v>13.702500000000001</v>
      </c>
    </row>
    <row r="74" spans="2:41" ht="24.95" customHeight="1" x14ac:dyDescent="0.25">
      <c r="B74" s="618" t="s">
        <v>38</v>
      </c>
      <c r="C74" s="619"/>
      <c r="D74" s="626">
        <v>0.495</v>
      </c>
      <c r="E74" s="627"/>
      <c r="F74" s="193"/>
      <c r="G74" s="770"/>
      <c r="H74" s="770"/>
      <c r="I74" s="770"/>
      <c r="J74" s="796"/>
      <c r="K74" s="796"/>
      <c r="L74" s="796"/>
      <c r="M74" s="193"/>
      <c r="AI74" s="22"/>
      <c r="AJ74" s="22"/>
      <c r="AK74" s="197">
        <f>SUM(AK67:AK73)</f>
        <v>2100</v>
      </c>
      <c r="AL74" s="197">
        <f>SUM(AL67:AL73)</f>
        <v>480.38900000000001</v>
      </c>
      <c r="AM74" s="197">
        <f>SUM(AM67:AM73)</f>
        <v>192.15560000000002</v>
      </c>
      <c r="AN74" s="197">
        <f>SUM(AN67:AN73)</f>
        <v>168.13615000000001</v>
      </c>
      <c r="AO74" s="197">
        <f>SUM(AO67:AO73)</f>
        <v>120.09725</v>
      </c>
    </row>
    <row r="75" spans="2:41" ht="24.95" customHeight="1" x14ac:dyDescent="0.25">
      <c r="B75" s="618" t="s">
        <v>492</v>
      </c>
      <c r="C75" s="619"/>
      <c r="D75" s="626">
        <v>0.495</v>
      </c>
      <c r="E75" s="627"/>
      <c r="F75" s="286"/>
      <c r="G75" s="770"/>
      <c r="H75" s="770"/>
      <c r="I75" s="770"/>
      <c r="J75" s="796"/>
      <c r="K75" s="796"/>
      <c r="L75" s="796"/>
      <c r="M75" s="206"/>
      <c r="O75" s="811" t="s">
        <v>598</v>
      </c>
      <c r="P75" s="811"/>
      <c r="Q75" s="811"/>
      <c r="R75" s="811"/>
      <c r="S75" s="811"/>
      <c r="T75" s="811"/>
      <c r="U75" s="811"/>
      <c r="V75" s="811"/>
      <c r="W75" s="811"/>
      <c r="X75" s="811"/>
      <c r="Y75" s="811"/>
      <c r="Z75" s="811"/>
      <c r="AA75" s="811"/>
      <c r="AB75" s="811"/>
      <c r="AC75" s="811"/>
    </row>
    <row r="76" spans="2:41" ht="30" customHeight="1" x14ac:dyDescent="0.25">
      <c r="B76" s="618" t="s">
        <v>491</v>
      </c>
      <c r="C76" s="619"/>
      <c r="D76" s="626">
        <v>0.60899999999999999</v>
      </c>
      <c r="E76" s="627"/>
      <c r="F76" s="286"/>
      <c r="G76" s="770"/>
      <c r="H76" s="770"/>
      <c r="I76" s="770"/>
      <c r="J76" s="770"/>
      <c r="K76" s="770"/>
      <c r="L76" s="770"/>
      <c r="M76" s="206"/>
      <c r="O76" s="812" t="s">
        <v>49</v>
      </c>
      <c r="P76" s="812"/>
      <c r="Q76" s="812"/>
      <c r="R76" s="812" t="s">
        <v>635</v>
      </c>
      <c r="S76" s="812"/>
      <c r="T76" s="812"/>
      <c r="U76" s="813" t="s">
        <v>636</v>
      </c>
      <c r="V76" s="814"/>
      <c r="W76" s="815"/>
      <c r="X76" s="812" t="s">
        <v>637</v>
      </c>
      <c r="Y76" s="812"/>
      <c r="Z76" s="812"/>
      <c r="AA76" s="868" t="s">
        <v>4</v>
      </c>
      <c r="AB76" s="868"/>
      <c r="AC76" s="868"/>
    </row>
    <row r="77" spans="2:41" ht="24.95" customHeight="1" x14ac:dyDescent="0.25">
      <c r="O77" s="826" t="s">
        <v>703</v>
      </c>
      <c r="P77" s="826"/>
      <c r="Q77" s="826"/>
      <c r="R77" s="826">
        <f>S68*Z68</f>
        <v>100</v>
      </c>
      <c r="S77" s="826"/>
      <c r="T77" s="826"/>
      <c r="U77" s="826">
        <f>(AN67+AN68+AN69+AN70+AN71)*Z69</f>
        <v>70.145075000000006</v>
      </c>
      <c r="V77" s="826"/>
      <c r="W77" s="826"/>
      <c r="X77" s="826">
        <f>(AM67+AM68+AM69+AM70+AM71)*Z69</f>
        <v>80.165800000000004</v>
      </c>
      <c r="Y77" s="826"/>
      <c r="Z77" s="826"/>
      <c r="AA77" s="826">
        <f>SUM(R77:Z77)</f>
        <v>250.31087500000001</v>
      </c>
      <c r="AB77" s="826"/>
      <c r="AC77" s="826"/>
    </row>
    <row r="78" spans="2:41" ht="24.95" customHeight="1" x14ac:dyDescent="0.25">
      <c r="O78" s="826" t="s">
        <v>704</v>
      </c>
      <c r="P78" s="826"/>
      <c r="Q78" s="826"/>
      <c r="R78" s="826">
        <f>S70*Z70</f>
        <v>20</v>
      </c>
      <c r="S78" s="826"/>
      <c r="T78" s="826"/>
      <c r="U78" s="826">
        <f>(AN72+AN73)*Z70</f>
        <v>27.845999999999997</v>
      </c>
      <c r="V78" s="826"/>
      <c r="W78" s="826"/>
      <c r="X78" s="826">
        <f>(AM72+AM73)*Z71</f>
        <v>22.276800000000001</v>
      </c>
      <c r="Y78" s="826"/>
      <c r="Z78" s="826"/>
      <c r="AA78" s="826">
        <f>SUM(R78:Z78)</f>
        <v>70.122799999999998</v>
      </c>
      <c r="AB78" s="826"/>
      <c r="AC78" s="826"/>
    </row>
    <row r="79" spans="2:41" ht="24.95" customHeight="1" x14ac:dyDescent="0.25"/>
    <row r="82" spans="2:31" ht="18.75" x14ac:dyDescent="0.3">
      <c r="B82" s="816" t="s">
        <v>279</v>
      </c>
      <c r="C82" s="816"/>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16"/>
      <c r="AE82" s="816"/>
    </row>
    <row r="83" spans="2:31" x14ac:dyDescent="0.25">
      <c r="B83" s="277"/>
    </row>
    <row r="84" spans="2:31" ht="15" customHeight="1" x14ac:dyDescent="0.25">
      <c r="B84" s="277" t="s">
        <v>567</v>
      </c>
    </row>
    <row r="85" spans="2:31" x14ac:dyDescent="0.25">
      <c r="B85" s="277"/>
    </row>
    <row r="86" spans="2:31" x14ac:dyDescent="0.25">
      <c r="E86" s="287"/>
      <c r="F86" s="287"/>
      <c r="G86" s="287"/>
      <c r="H86" s="287"/>
      <c r="I86" s="287"/>
      <c r="J86" s="287"/>
    </row>
    <row r="87" spans="2:31" s="15" customFormat="1" ht="39" customHeight="1" x14ac:dyDescent="0.2">
      <c r="B87" s="865" t="s">
        <v>581</v>
      </c>
      <c r="C87" s="866"/>
      <c r="D87" s="866"/>
      <c r="E87" s="866"/>
      <c r="F87" s="866"/>
      <c r="G87" s="866"/>
      <c r="H87" s="866"/>
      <c r="I87" s="866"/>
      <c r="J87" s="866"/>
      <c r="K87" s="866"/>
      <c r="L87" s="867"/>
      <c r="N87" s="692" t="s">
        <v>546</v>
      </c>
      <c r="O87" s="692"/>
      <c r="P87" s="189"/>
      <c r="Q87" s="717" t="s">
        <v>547</v>
      </c>
      <c r="R87" s="718"/>
      <c r="T87" s="838" t="s">
        <v>594</v>
      </c>
      <c r="U87" s="838"/>
      <c r="W87" s="692" t="s">
        <v>722</v>
      </c>
      <c r="X87" s="692"/>
      <c r="Z87" s="692" t="s">
        <v>723</v>
      </c>
      <c r="AA87" s="692"/>
    </row>
    <row r="88" spans="2:31" s="192" customFormat="1" ht="5.0999999999999996" customHeight="1" x14ac:dyDescent="0.2">
      <c r="C88" s="20"/>
      <c r="W88" s="49"/>
      <c r="X88" s="49"/>
      <c r="Z88" s="49"/>
      <c r="AA88" s="49"/>
    </row>
    <row r="89" spans="2:31" s="192" customFormat="1" ht="30" customHeight="1" x14ac:dyDescent="0.2">
      <c r="B89" s="611" t="s">
        <v>781</v>
      </c>
      <c r="C89" s="611"/>
      <c r="D89" s="611"/>
      <c r="E89" s="611"/>
      <c r="G89" s="618" t="s">
        <v>782</v>
      </c>
      <c r="H89" s="631"/>
      <c r="I89" s="631"/>
      <c r="J89" s="631"/>
      <c r="K89" s="631"/>
      <c r="L89" s="619"/>
      <c r="N89" s="632">
        <f>CADASTRO!$BS$32</f>
        <v>140</v>
      </c>
      <c r="O89" s="632"/>
      <c r="P89" s="206"/>
      <c r="Q89" s="706">
        <v>100</v>
      </c>
      <c r="R89" s="707"/>
      <c r="T89" s="708">
        <f>Q89/N89</f>
        <v>0.7142857142857143</v>
      </c>
      <c r="U89" s="708"/>
      <c r="W89" s="624">
        <v>1</v>
      </c>
      <c r="X89" s="625"/>
      <c r="Z89" s="632">
        <f>Q89*W89</f>
        <v>100</v>
      </c>
      <c r="AA89" s="632"/>
    </row>
    <row r="90" spans="2:31" s="192" customFormat="1" ht="30" customHeight="1" x14ac:dyDescent="0.2">
      <c r="B90" s="611" t="s">
        <v>280</v>
      </c>
      <c r="C90" s="611"/>
      <c r="D90" s="611"/>
      <c r="E90" s="611"/>
      <c r="G90" s="618" t="s">
        <v>281</v>
      </c>
      <c r="H90" s="631"/>
      <c r="I90" s="631"/>
      <c r="J90" s="631"/>
      <c r="K90" s="631"/>
      <c r="L90" s="619"/>
      <c r="N90" s="632">
        <f>CADASTRO!BS32*50%</f>
        <v>70</v>
      </c>
      <c r="O90" s="632"/>
      <c r="P90" s="206"/>
      <c r="Q90" s="706">
        <v>60</v>
      </c>
      <c r="R90" s="707"/>
      <c r="T90" s="708">
        <f>Q90/N90</f>
        <v>0.8571428571428571</v>
      </c>
      <c r="U90" s="708"/>
      <c r="W90" s="624">
        <v>1</v>
      </c>
      <c r="X90" s="625"/>
      <c r="Z90" s="632">
        <f t="shared" ref="Z90:Z92" si="11">Q90*W90</f>
        <v>60</v>
      </c>
      <c r="AA90" s="632"/>
    </row>
    <row r="91" spans="2:31" s="192" customFormat="1" ht="47.25" customHeight="1" x14ac:dyDescent="0.2">
      <c r="B91" s="611" t="s">
        <v>282</v>
      </c>
      <c r="C91" s="611"/>
      <c r="D91" s="611"/>
      <c r="E91" s="611"/>
      <c r="G91" s="618" t="s">
        <v>283</v>
      </c>
      <c r="H91" s="631"/>
      <c r="I91" s="631"/>
      <c r="J91" s="631"/>
      <c r="K91" s="631"/>
      <c r="L91" s="619"/>
      <c r="N91" s="632">
        <f>CADASTRO!BS32*30%</f>
        <v>42</v>
      </c>
      <c r="O91" s="632"/>
      <c r="P91" s="206"/>
      <c r="Q91" s="706">
        <v>42</v>
      </c>
      <c r="R91" s="707"/>
      <c r="T91" s="708">
        <f>Q91/N91</f>
        <v>1</v>
      </c>
      <c r="U91" s="708"/>
      <c r="W91" s="624">
        <v>1</v>
      </c>
      <c r="X91" s="625"/>
      <c r="Z91" s="632">
        <f t="shared" si="11"/>
        <v>42</v>
      </c>
      <c r="AA91" s="632"/>
    </row>
    <row r="92" spans="2:31" s="192" customFormat="1" ht="30" customHeight="1" x14ac:dyDescent="0.2">
      <c r="B92" s="611" t="s">
        <v>500</v>
      </c>
      <c r="C92" s="611"/>
      <c r="D92" s="611"/>
      <c r="E92" s="611"/>
      <c r="G92" s="618" t="s">
        <v>302</v>
      </c>
      <c r="H92" s="631"/>
      <c r="I92" s="631"/>
      <c r="J92" s="631"/>
      <c r="K92" s="631"/>
      <c r="L92" s="619"/>
      <c r="N92" s="632">
        <f>CADASTRO!BS32*20%</f>
        <v>28</v>
      </c>
      <c r="O92" s="632"/>
      <c r="P92" s="206"/>
      <c r="Q92" s="753">
        <v>28</v>
      </c>
      <c r="R92" s="753"/>
      <c r="T92" s="708">
        <f>Q92/N92</f>
        <v>1</v>
      </c>
      <c r="U92" s="708"/>
      <c r="W92" s="880">
        <v>1</v>
      </c>
      <c r="X92" s="880"/>
      <c r="Z92" s="632">
        <f t="shared" si="11"/>
        <v>28</v>
      </c>
      <c r="AA92" s="632"/>
    </row>
    <row r="93" spans="2:31" s="192" customFormat="1" ht="20.25" customHeight="1" x14ac:dyDescent="0.25">
      <c r="B93" s="770" t="s">
        <v>599</v>
      </c>
      <c r="C93" s="770"/>
      <c r="D93" s="770"/>
      <c r="E93" s="770"/>
      <c r="F93" s="770"/>
      <c r="G93" s="770"/>
      <c r="H93" s="770"/>
      <c r="I93" s="770"/>
      <c r="J93" s="770"/>
      <c r="K93" s="770"/>
      <c r="L93" s="770"/>
      <c r="O93" s="848"/>
      <c r="P93" s="848"/>
      <c r="Q93" s="848"/>
      <c r="R93" s="848"/>
      <c r="S93" s="848"/>
      <c r="T93" s="848"/>
      <c r="U93" s="848"/>
      <c r="V93" s="848"/>
      <c r="W93" s="848"/>
    </row>
    <row r="94" spans="2:31" x14ac:dyDescent="0.25">
      <c r="B94" s="206"/>
      <c r="C94" s="206"/>
      <c r="D94" s="206"/>
      <c r="E94" s="206"/>
      <c r="F94" s="206"/>
      <c r="G94" s="206"/>
      <c r="H94" s="206"/>
      <c r="I94" s="206"/>
      <c r="J94" s="206"/>
      <c r="K94" s="206"/>
      <c r="L94" s="206"/>
    </row>
    <row r="95" spans="2:31" ht="18.75" x14ac:dyDescent="0.3">
      <c r="B95" s="816" t="s">
        <v>731</v>
      </c>
      <c r="C95" s="816"/>
      <c r="D95" s="816"/>
      <c r="E95" s="816"/>
      <c r="F95" s="816"/>
      <c r="G95" s="816"/>
      <c r="H95" s="816"/>
      <c r="I95" s="816"/>
      <c r="J95" s="816"/>
      <c r="K95" s="816"/>
      <c r="L95" s="816"/>
      <c r="M95" s="816"/>
      <c r="N95" s="816"/>
      <c r="O95" s="816"/>
      <c r="P95" s="816"/>
      <c r="Q95" s="816"/>
      <c r="R95" s="816"/>
      <c r="S95" s="816"/>
      <c r="T95" s="816"/>
      <c r="U95" s="816"/>
      <c r="V95" s="816"/>
      <c r="W95" s="816"/>
      <c r="X95" s="816"/>
      <c r="Y95" s="816"/>
      <c r="Z95" s="816"/>
      <c r="AA95" s="816"/>
      <c r="AB95" s="816"/>
      <c r="AC95" s="816"/>
      <c r="AD95" s="816"/>
      <c r="AE95" s="816"/>
    </row>
    <row r="96" spans="2:31" x14ac:dyDescent="0.25">
      <c r="B96" s="206"/>
      <c r="C96" s="206"/>
      <c r="D96" s="206"/>
      <c r="E96" s="206"/>
      <c r="F96" s="206"/>
      <c r="G96" s="206"/>
      <c r="H96" s="206"/>
      <c r="I96" s="206"/>
      <c r="J96" s="206"/>
      <c r="K96" s="206"/>
      <c r="L96" s="206"/>
    </row>
    <row r="97" spans="2:31" ht="15" customHeight="1" x14ac:dyDescent="0.25">
      <c r="B97" s="277" t="s">
        <v>567</v>
      </c>
    </row>
    <row r="98" spans="2:31" x14ac:dyDescent="0.25">
      <c r="B98" s="206"/>
      <c r="C98" s="206"/>
      <c r="D98" s="206"/>
      <c r="E98" s="206"/>
      <c r="F98" s="206"/>
      <c r="G98" s="206"/>
      <c r="H98" s="206"/>
      <c r="I98" s="206"/>
      <c r="J98" s="206"/>
      <c r="K98" s="206"/>
      <c r="L98" s="206"/>
    </row>
    <row r="99" spans="2:31" ht="30" customHeight="1" x14ac:dyDescent="0.25">
      <c r="B99" s="709" t="s">
        <v>581</v>
      </c>
      <c r="C99" s="710"/>
      <c r="D99" s="710"/>
      <c r="E99" s="710"/>
      <c r="F99" s="710"/>
      <c r="G99" s="710"/>
      <c r="H99" s="710"/>
      <c r="I99" s="710"/>
      <c r="J99" s="710"/>
      <c r="K99" s="710"/>
      <c r="L99" s="711"/>
      <c r="N99" s="692" t="s">
        <v>546</v>
      </c>
      <c r="O99" s="692"/>
      <c r="P99" s="278"/>
      <c r="Q99" s="793" t="s">
        <v>547</v>
      </c>
      <c r="R99" s="794"/>
      <c r="S99" s="49"/>
      <c r="T99" s="793" t="s">
        <v>545</v>
      </c>
      <c r="U99" s="794"/>
      <c r="V99" s="278"/>
      <c r="W99" s="838" t="s">
        <v>544</v>
      </c>
      <c r="X99" s="838"/>
      <c r="Z99" s="692" t="s">
        <v>732</v>
      </c>
      <c r="AA99" s="692"/>
    </row>
    <row r="100" spans="2:31" ht="15.75" customHeight="1" x14ac:dyDescent="0.25">
      <c r="B100" s="277"/>
    </row>
    <row r="101" spans="2:31" ht="48.75" customHeight="1" x14ac:dyDescent="0.25">
      <c r="B101" s="509" t="s">
        <v>288</v>
      </c>
      <c r="C101" s="509"/>
      <c r="D101" s="509"/>
      <c r="E101" s="509"/>
      <c r="G101" s="509" t="s">
        <v>777</v>
      </c>
      <c r="H101" s="509"/>
      <c r="I101" s="509"/>
      <c r="J101" s="509"/>
      <c r="K101" s="509"/>
      <c r="L101" s="509"/>
      <c r="N101" s="837">
        <f>(CADASTRO!AU23+CADASTRO!AU24+CADASTRO!AU27+CADASTRO!AU28)*50%</f>
        <v>146.5</v>
      </c>
      <c r="O101" s="640"/>
      <c r="Q101" s="706">
        <v>140</v>
      </c>
      <c r="R101" s="707"/>
      <c r="T101" s="840">
        <f>Q101/N101</f>
        <v>0.95563139931740615</v>
      </c>
      <c r="U101" s="840"/>
      <c r="W101" s="879">
        <v>0.7</v>
      </c>
      <c r="X101" s="879"/>
      <c r="Z101" s="837">
        <f>Q101*W101</f>
        <v>98</v>
      </c>
      <c r="AA101" s="640"/>
    </row>
    <row r="102" spans="2:31" ht="49.5" customHeight="1" x14ac:dyDescent="0.25">
      <c r="B102" s="509" t="s">
        <v>360</v>
      </c>
      <c r="C102" s="509"/>
      <c r="D102" s="509"/>
      <c r="E102" s="509"/>
      <c r="G102" s="509" t="s">
        <v>778</v>
      </c>
      <c r="H102" s="509"/>
      <c r="I102" s="509"/>
      <c r="J102" s="509"/>
      <c r="K102" s="509"/>
      <c r="L102" s="509"/>
      <c r="N102" s="788">
        <f>(CADASTRO!AU18+CADASTRO!AU19+CADASTRO!AU20+CADASTRO!AU21+CADASTRO!AU22+CADASTRO!AU23+CADASTRO!AU24+CADASTRO!AU27)*33.33%</f>
        <v>302.63639999999998</v>
      </c>
      <c r="O102" s="744"/>
      <c r="Q102" s="706">
        <v>303</v>
      </c>
      <c r="R102" s="707"/>
      <c r="T102" s="840">
        <f>Q102/N102</f>
        <v>1.0012014417300761</v>
      </c>
      <c r="U102" s="840"/>
      <c r="W102" s="879">
        <v>0.6</v>
      </c>
      <c r="X102" s="879"/>
      <c r="Z102" s="788">
        <f>Q102*W102</f>
        <v>181.79999999999998</v>
      </c>
      <c r="AA102" s="744"/>
    </row>
    <row r="103" spans="2:31" x14ac:dyDescent="0.25">
      <c r="B103" s="206"/>
      <c r="C103" s="206"/>
      <c r="D103" s="206"/>
      <c r="E103" s="206"/>
      <c r="F103" s="206"/>
      <c r="G103" s="206"/>
      <c r="H103" s="206"/>
      <c r="I103" s="206"/>
      <c r="J103" s="206"/>
      <c r="K103" s="206"/>
      <c r="L103" s="206"/>
    </row>
    <row r="104" spans="2:31" ht="18.75" x14ac:dyDescent="0.3">
      <c r="B104" s="816" t="s">
        <v>397</v>
      </c>
      <c r="C104" s="816"/>
      <c r="D104" s="816"/>
      <c r="E104" s="816"/>
      <c r="F104" s="816"/>
      <c r="G104" s="816"/>
      <c r="H104" s="816"/>
      <c r="I104" s="816"/>
      <c r="J104" s="816"/>
      <c r="K104" s="816"/>
      <c r="L104" s="816"/>
      <c r="M104" s="816"/>
      <c r="N104" s="816"/>
      <c r="O104" s="816"/>
      <c r="P104" s="816"/>
      <c r="Q104" s="816"/>
      <c r="R104" s="816"/>
      <c r="S104" s="816"/>
      <c r="T104" s="816"/>
      <c r="U104" s="816"/>
      <c r="V104" s="816"/>
      <c r="W104" s="816"/>
      <c r="X104" s="816"/>
      <c r="Y104" s="816"/>
      <c r="Z104" s="816"/>
      <c r="AA104" s="816"/>
      <c r="AB104" s="816"/>
      <c r="AC104" s="816"/>
      <c r="AD104" s="816"/>
      <c r="AE104" s="816"/>
    </row>
    <row r="105" spans="2:31" x14ac:dyDescent="0.25">
      <c r="B105" s="206"/>
      <c r="C105" s="206"/>
      <c r="D105" s="206"/>
      <c r="E105" s="206"/>
      <c r="F105" s="206"/>
      <c r="G105" s="206"/>
      <c r="H105" s="206"/>
      <c r="I105" s="206"/>
      <c r="J105" s="206"/>
      <c r="K105" s="206"/>
      <c r="L105" s="206"/>
    </row>
    <row r="106" spans="2:31" s="333" customFormat="1" ht="20.100000000000001" customHeight="1" x14ac:dyDescent="0.2">
      <c r="B106" s="773" t="s">
        <v>835</v>
      </c>
      <c r="C106" s="774"/>
      <c r="D106" s="774"/>
      <c r="E106" s="774"/>
      <c r="F106" s="774"/>
      <c r="G106" s="774"/>
      <c r="H106" s="775"/>
      <c r="J106" s="820" t="s">
        <v>830</v>
      </c>
      <c r="K106" s="821"/>
      <c r="L106" s="822"/>
      <c r="N106" s="820" t="s">
        <v>832</v>
      </c>
      <c r="O106" s="822"/>
      <c r="Q106" s="771" t="s">
        <v>833</v>
      </c>
      <c r="R106" s="772"/>
      <c r="T106" s="771" t="s">
        <v>834</v>
      </c>
      <c r="U106" s="772"/>
    </row>
    <row r="107" spans="2:31" s="333" customFormat="1" ht="20.100000000000001" customHeight="1" x14ac:dyDescent="0.2">
      <c r="B107" s="776"/>
      <c r="C107" s="777"/>
      <c r="D107" s="777"/>
      <c r="E107" s="777"/>
      <c r="F107" s="777"/>
      <c r="G107" s="777"/>
      <c r="H107" s="778"/>
      <c r="J107" s="823"/>
      <c r="K107" s="824"/>
      <c r="L107" s="825"/>
      <c r="N107" s="823"/>
      <c r="O107" s="825"/>
      <c r="Q107" s="339" t="s">
        <v>831</v>
      </c>
      <c r="R107" s="339" t="s">
        <v>0</v>
      </c>
      <c r="T107" s="339" t="s">
        <v>836</v>
      </c>
      <c r="U107" s="339" t="s">
        <v>831</v>
      </c>
    </row>
    <row r="108" spans="2:31" s="333" customFormat="1" ht="12.75" x14ac:dyDescent="0.2">
      <c r="B108" s="334"/>
      <c r="J108" s="247"/>
      <c r="K108" s="247"/>
      <c r="L108" s="247"/>
      <c r="N108" s="247"/>
      <c r="O108" s="247"/>
      <c r="Q108" s="335"/>
      <c r="R108" s="335"/>
      <c r="T108" s="335"/>
      <c r="U108" s="335"/>
    </row>
    <row r="109" spans="2:31" s="333" customFormat="1" ht="60" hidden="1" customHeight="1" x14ac:dyDescent="0.2">
      <c r="B109" s="742" t="s">
        <v>827</v>
      </c>
      <c r="C109" s="742"/>
      <c r="D109" s="742"/>
      <c r="E109" s="742"/>
      <c r="F109" s="742"/>
      <c r="G109" s="742"/>
      <c r="H109" s="742"/>
      <c r="J109" s="337">
        <v>0.78</v>
      </c>
      <c r="K109" s="479" t="s">
        <v>828</v>
      </c>
      <c r="L109" s="480"/>
      <c r="N109" s="809">
        <f>(CADASTRO!$BS$32+CADASTRO!$BS$25)*J109</f>
        <v>1638</v>
      </c>
      <c r="O109" s="809"/>
      <c r="Q109" s="360">
        <v>1500</v>
      </c>
      <c r="R109" s="336">
        <f>Q109/N109</f>
        <v>0.91575091575091572</v>
      </c>
      <c r="T109" s="361">
        <v>0.4</v>
      </c>
      <c r="U109" s="352">
        <f>Q109*T109</f>
        <v>600</v>
      </c>
      <c r="W109" s="491" t="s">
        <v>847</v>
      </c>
      <c r="X109" s="491"/>
      <c r="Y109" s="491"/>
      <c r="Z109" s="491"/>
      <c r="AA109" s="491"/>
    </row>
    <row r="110" spans="2:31" s="333" customFormat="1" ht="60" customHeight="1" x14ac:dyDescent="0.2">
      <c r="B110" s="742" t="s">
        <v>859</v>
      </c>
      <c r="C110" s="742"/>
      <c r="D110" s="742"/>
      <c r="E110" s="742"/>
      <c r="F110" s="742"/>
      <c r="G110" s="742"/>
      <c r="H110" s="742"/>
      <c r="J110" s="337">
        <v>0.22</v>
      </c>
      <c r="K110" s="479" t="s">
        <v>828</v>
      </c>
      <c r="L110" s="480"/>
      <c r="N110" s="809">
        <f>(CADASTRO!$BS$32+CADASTRO!$BS$25)*J110</f>
        <v>462</v>
      </c>
      <c r="O110" s="809"/>
      <c r="Q110" s="360">
        <v>345</v>
      </c>
      <c r="R110" s="336">
        <f t="shared" ref="R110:R114" si="12">Q110/N110</f>
        <v>0.74675324675324672</v>
      </c>
      <c r="T110" s="361">
        <v>0.7</v>
      </c>
      <c r="U110" s="352">
        <f t="shared" ref="U110:U114" si="13">Q110*T110</f>
        <v>241.49999999999997</v>
      </c>
      <c r="W110" s="491"/>
      <c r="X110" s="491"/>
      <c r="Y110" s="491"/>
      <c r="Z110" s="491"/>
      <c r="AA110" s="491"/>
    </row>
    <row r="111" spans="2:31" s="333" customFormat="1" ht="60" customHeight="1" x14ac:dyDescent="0.2">
      <c r="B111" s="338">
        <v>1</v>
      </c>
      <c r="C111" s="742" t="s">
        <v>849</v>
      </c>
      <c r="D111" s="742"/>
      <c r="E111" s="742"/>
      <c r="F111" s="742"/>
      <c r="G111" s="742"/>
      <c r="H111" s="742"/>
      <c r="J111" s="337">
        <v>0.55000000000000004</v>
      </c>
      <c r="K111" s="479" t="s">
        <v>829</v>
      </c>
      <c r="L111" s="480"/>
      <c r="N111" s="809">
        <f>$N$110*J111</f>
        <v>254.10000000000002</v>
      </c>
      <c r="O111" s="809"/>
      <c r="Q111" s="360">
        <v>210</v>
      </c>
      <c r="R111" s="336">
        <f>Q111/N111</f>
        <v>0.82644628099173545</v>
      </c>
      <c r="T111" s="361">
        <v>0.4</v>
      </c>
      <c r="U111" s="352">
        <f>Q111*T111</f>
        <v>84</v>
      </c>
      <c r="W111" s="491"/>
      <c r="X111" s="491"/>
      <c r="Y111" s="491"/>
      <c r="Z111" s="491"/>
      <c r="AA111" s="491"/>
    </row>
    <row r="112" spans="2:31" s="333" customFormat="1" ht="60" customHeight="1" x14ac:dyDescent="0.2">
      <c r="B112" s="338">
        <v>2</v>
      </c>
      <c r="C112" s="742" t="s">
        <v>850</v>
      </c>
      <c r="D112" s="742"/>
      <c r="E112" s="742"/>
      <c r="F112" s="742"/>
      <c r="G112" s="742"/>
      <c r="H112" s="742"/>
      <c r="J112" s="351">
        <v>0.25</v>
      </c>
      <c r="K112" s="479" t="s">
        <v>829</v>
      </c>
      <c r="L112" s="480"/>
      <c r="N112" s="809">
        <f>$N$110*J112</f>
        <v>115.5</v>
      </c>
      <c r="O112" s="809"/>
      <c r="Q112" s="360">
        <v>120</v>
      </c>
      <c r="R112" s="336">
        <f t="shared" si="12"/>
        <v>1.0389610389610389</v>
      </c>
      <c r="T112" s="361">
        <v>0.4</v>
      </c>
      <c r="U112" s="352">
        <f t="shared" si="13"/>
        <v>48</v>
      </c>
      <c r="W112" s="31"/>
      <c r="X112" s="31"/>
      <c r="Y112" s="31"/>
    </row>
    <row r="113" spans="2:32" s="333" customFormat="1" ht="60" customHeight="1" x14ac:dyDescent="0.2">
      <c r="B113" s="338">
        <v>3</v>
      </c>
      <c r="C113" s="742" t="s">
        <v>851</v>
      </c>
      <c r="D113" s="742"/>
      <c r="E113" s="742"/>
      <c r="F113" s="742"/>
      <c r="G113" s="742"/>
      <c r="H113" s="742"/>
      <c r="J113" s="337">
        <v>0.15</v>
      </c>
      <c r="K113" s="479" t="s">
        <v>829</v>
      </c>
      <c r="L113" s="480"/>
      <c r="N113" s="809">
        <f>$N$110*J113</f>
        <v>69.3</v>
      </c>
      <c r="O113" s="809"/>
      <c r="Q113" s="360">
        <v>10</v>
      </c>
      <c r="R113" s="336">
        <f t="shared" si="12"/>
        <v>0.14430014430014432</v>
      </c>
      <c r="T113" s="361">
        <v>1</v>
      </c>
      <c r="U113" s="352">
        <f t="shared" si="13"/>
        <v>10</v>
      </c>
      <c r="W113" s="348" t="s">
        <v>853</v>
      </c>
      <c r="X113" s="347">
        <v>0.3</v>
      </c>
      <c r="Y113" s="346"/>
    </row>
    <row r="114" spans="2:32" s="333" customFormat="1" ht="60" customHeight="1" x14ac:dyDescent="0.2">
      <c r="B114" s="338">
        <v>4</v>
      </c>
      <c r="C114" s="742" t="s">
        <v>852</v>
      </c>
      <c r="D114" s="742"/>
      <c r="E114" s="742"/>
      <c r="F114" s="742"/>
      <c r="G114" s="742"/>
      <c r="H114" s="742"/>
      <c r="J114" s="337">
        <v>0.05</v>
      </c>
      <c r="K114" s="479" t="s">
        <v>829</v>
      </c>
      <c r="L114" s="480"/>
      <c r="N114" s="809">
        <f>$N$110*J114</f>
        <v>23.1</v>
      </c>
      <c r="O114" s="809"/>
      <c r="Q114" s="360">
        <v>5</v>
      </c>
      <c r="R114" s="336">
        <f t="shared" si="12"/>
        <v>0.21645021645021645</v>
      </c>
      <c r="T114" s="361">
        <v>0.4</v>
      </c>
      <c r="U114" s="352">
        <f t="shared" si="13"/>
        <v>2</v>
      </c>
      <c r="W114" s="348"/>
      <c r="X114" s="349"/>
      <c r="Y114" s="194"/>
    </row>
    <row r="115" spans="2:32" x14ac:dyDescent="0.25">
      <c r="B115" s="277"/>
    </row>
    <row r="116" spans="2:32" x14ac:dyDescent="0.25">
      <c r="B116" s="277"/>
    </row>
    <row r="117" spans="2:32" s="192" customFormat="1" x14ac:dyDescent="0.2"/>
    <row r="118" spans="2:32" s="22" customFormat="1" ht="12.75" x14ac:dyDescent="0.2"/>
    <row r="119" spans="2:32" s="22" customFormat="1" ht="12.75" x14ac:dyDescent="0.2"/>
    <row r="120" spans="2:32" s="22" customFormat="1" ht="12.75" x14ac:dyDescent="0.2"/>
    <row r="121" spans="2:32" s="22" customFormat="1" ht="12.75" x14ac:dyDescent="0.2"/>
    <row r="122" spans="2:32" s="22" customFormat="1" ht="12.75" x14ac:dyDescent="0.2"/>
    <row r="123" spans="2:32" s="22" customFormat="1" ht="12.75" x14ac:dyDescent="0.2"/>
    <row r="125" spans="2:32" ht="15.75" customHeight="1" x14ac:dyDescent="0.25">
      <c r="B125" s="745" t="s">
        <v>413</v>
      </c>
      <c r="C125" s="746"/>
      <c r="D125" s="746"/>
      <c r="E125" s="746"/>
      <c r="F125" s="746"/>
      <c r="G125" s="746"/>
      <c r="H125" s="746"/>
      <c r="I125" s="746"/>
      <c r="J125" s="746"/>
      <c r="K125" s="746"/>
      <c r="L125" s="746"/>
      <c r="M125" s="746"/>
      <c r="N125" s="747"/>
      <c r="P125" s="748" t="s">
        <v>544</v>
      </c>
      <c r="Q125" s="748"/>
      <c r="R125" s="748"/>
      <c r="T125" s="878" t="s">
        <v>603</v>
      </c>
      <c r="U125" s="878"/>
      <c r="V125" s="878"/>
      <c r="W125" s="878"/>
      <c r="X125" s="878"/>
      <c r="Y125" s="878"/>
      <c r="Z125" s="878"/>
      <c r="AA125" s="878"/>
      <c r="AB125" s="878"/>
      <c r="AC125" s="878"/>
      <c r="AD125" s="878"/>
      <c r="AE125" s="878"/>
      <c r="AF125" s="878"/>
    </row>
    <row r="126" spans="2:32" ht="30" customHeight="1" x14ac:dyDescent="0.25">
      <c r="B126" s="749" t="s">
        <v>414</v>
      </c>
      <c r="C126" s="750"/>
      <c r="D126" s="750"/>
      <c r="E126" s="750"/>
      <c r="F126" s="750"/>
      <c r="G126" s="750"/>
      <c r="H126" s="751"/>
      <c r="I126" s="749" t="s">
        <v>602</v>
      </c>
      <c r="J126" s="750"/>
      <c r="K126" s="751"/>
      <c r="L126" s="749" t="s">
        <v>594</v>
      </c>
      <c r="M126" s="750"/>
      <c r="N126" s="751"/>
      <c r="P126" s="748"/>
      <c r="Q126" s="748"/>
      <c r="R126" s="748"/>
      <c r="T126" s="839" t="s">
        <v>4</v>
      </c>
      <c r="U126" s="839"/>
      <c r="V126" s="641" t="s">
        <v>875</v>
      </c>
      <c r="W126" s="641"/>
      <c r="X126" s="641" t="s">
        <v>876</v>
      </c>
      <c r="Y126" s="641"/>
      <c r="Z126" s="641"/>
      <c r="AA126" s="641" t="s">
        <v>877</v>
      </c>
      <c r="AB126" s="641"/>
      <c r="AC126" s="641"/>
      <c r="AD126" s="641" t="s">
        <v>878</v>
      </c>
      <c r="AE126" s="641"/>
      <c r="AF126" s="641"/>
    </row>
    <row r="127" spans="2:32" ht="30" customHeight="1" x14ac:dyDescent="0.25">
      <c r="B127" s="783" t="s">
        <v>459</v>
      </c>
      <c r="C127" s="783"/>
      <c r="D127" s="783"/>
      <c r="E127" s="783"/>
      <c r="F127" s="784">
        <f>N110</f>
        <v>462</v>
      </c>
      <c r="G127" s="785"/>
      <c r="H127" s="786"/>
      <c r="I127" s="784">
        <f>Q110</f>
        <v>345</v>
      </c>
      <c r="J127" s="785"/>
      <c r="K127" s="786"/>
      <c r="L127" s="789">
        <f>I127/F127</f>
        <v>0.74675324675324672</v>
      </c>
      <c r="M127" s="790"/>
      <c r="N127" s="791"/>
      <c r="P127" s="792">
        <f>T110</f>
        <v>0.7</v>
      </c>
      <c r="Q127" s="792"/>
      <c r="R127" s="792"/>
      <c r="T127" s="695">
        <f>I127*P127</f>
        <v>241.49999999999997</v>
      </c>
      <c r="U127" s="695"/>
      <c r="V127" s="695">
        <f>T127*J114</f>
        <v>12.074999999999999</v>
      </c>
      <c r="W127" s="695"/>
      <c r="X127" s="695">
        <f>T127*J113</f>
        <v>36.224999999999994</v>
      </c>
      <c r="Y127" s="695"/>
      <c r="Z127" s="695"/>
      <c r="AA127" s="695">
        <f>T127*J112</f>
        <v>60.374999999999993</v>
      </c>
      <c r="AB127" s="695"/>
      <c r="AC127" s="695"/>
      <c r="AD127" s="695">
        <f>T127*J111</f>
        <v>132.82499999999999</v>
      </c>
      <c r="AE127" s="695"/>
      <c r="AF127" s="695"/>
    </row>
    <row r="128" spans="2:32" x14ac:dyDescent="0.25">
      <c r="B128" s="206"/>
      <c r="C128" s="206"/>
      <c r="D128" s="206"/>
      <c r="E128" s="206"/>
      <c r="F128" s="206"/>
      <c r="G128" s="206"/>
      <c r="H128" s="206"/>
      <c r="I128" s="206"/>
      <c r="J128" s="206"/>
      <c r="K128" s="206"/>
      <c r="L128" s="206"/>
    </row>
    <row r="129" spans="2:31" x14ac:dyDescent="0.25">
      <c r="B129" s="206"/>
      <c r="C129" s="206"/>
      <c r="D129" s="206"/>
      <c r="E129" s="206"/>
      <c r="F129" s="206"/>
      <c r="G129" s="206"/>
      <c r="H129" s="206"/>
      <c r="I129" s="206"/>
      <c r="J129" s="206"/>
      <c r="K129" s="206"/>
      <c r="L129" s="206"/>
    </row>
    <row r="130" spans="2:31" ht="18.75" x14ac:dyDescent="0.3">
      <c r="B130" s="816" t="s">
        <v>296</v>
      </c>
      <c r="C130" s="816"/>
      <c r="D130" s="816"/>
      <c r="E130" s="816"/>
      <c r="F130" s="816"/>
      <c r="G130" s="816"/>
      <c r="H130" s="816"/>
      <c r="I130" s="816"/>
      <c r="J130" s="816"/>
      <c r="K130" s="816"/>
      <c r="L130" s="816"/>
      <c r="M130" s="816"/>
      <c r="N130" s="816"/>
      <c r="O130" s="816"/>
      <c r="P130" s="816"/>
      <c r="Q130" s="816"/>
      <c r="R130" s="816"/>
      <c r="S130" s="816"/>
      <c r="T130" s="816"/>
      <c r="U130" s="816"/>
      <c r="V130" s="816"/>
      <c r="W130" s="816"/>
      <c r="X130" s="816"/>
      <c r="Y130" s="816"/>
      <c r="Z130" s="816"/>
      <c r="AA130" s="816"/>
      <c r="AB130" s="816"/>
      <c r="AC130" s="816"/>
      <c r="AD130" s="816"/>
      <c r="AE130" s="816"/>
    </row>
    <row r="131" spans="2:31" x14ac:dyDescent="0.25">
      <c r="B131" s="20"/>
    </row>
    <row r="132" spans="2:31" ht="15" customHeight="1" x14ac:dyDescent="0.25">
      <c r="B132" s="277" t="s">
        <v>567</v>
      </c>
    </row>
    <row r="133" spans="2:31" x14ac:dyDescent="0.25">
      <c r="B133" s="20"/>
    </row>
    <row r="134" spans="2:31" s="192" customFormat="1" ht="15.75" customHeight="1" x14ac:dyDescent="0.2">
      <c r="D134" s="752"/>
      <c r="E134" s="752"/>
      <c r="F134" s="288" t="s">
        <v>779</v>
      </c>
      <c r="G134" s="288"/>
      <c r="H134" s="288"/>
      <c r="I134" s="288"/>
      <c r="J134" s="288"/>
      <c r="K134" s="288"/>
      <c r="L134" s="288"/>
      <c r="M134" s="288"/>
      <c r="N134" s="288"/>
      <c r="O134" s="288"/>
      <c r="P134" s="288"/>
      <c r="Q134" s="288"/>
      <c r="R134" s="288"/>
      <c r="S134" s="288"/>
      <c r="T134" s="288"/>
      <c r="U134" s="288"/>
      <c r="V134" s="288"/>
      <c r="W134" s="288"/>
      <c r="X134" s="288"/>
      <c r="Y134" s="288"/>
      <c r="Z134" s="288"/>
      <c r="AA134" s="288"/>
      <c r="AB134" s="288"/>
      <c r="AC134" s="288"/>
      <c r="AD134" s="288"/>
    </row>
    <row r="136" spans="2:31" s="192" customFormat="1" ht="15.75" customHeight="1" x14ac:dyDescent="0.2">
      <c r="D136" s="289"/>
      <c r="E136" s="289"/>
      <c r="F136" s="817" t="s">
        <v>581</v>
      </c>
      <c r="G136" s="818"/>
      <c r="H136" s="818"/>
      <c r="I136" s="818"/>
      <c r="J136" s="818"/>
      <c r="K136" s="818"/>
      <c r="L136" s="818"/>
      <c r="M136" s="818"/>
      <c r="N136" s="818"/>
      <c r="O136" s="818"/>
      <c r="P136" s="818"/>
      <c r="Q136" s="818"/>
      <c r="R136" s="818"/>
      <c r="S136" s="818"/>
      <c r="T136" s="818"/>
      <c r="U136" s="818"/>
      <c r="V136" s="818"/>
      <c r="W136" s="818"/>
      <c r="X136" s="818"/>
      <c r="Y136" s="818"/>
      <c r="Z136" s="818"/>
      <c r="AA136" s="818"/>
      <c r="AB136" s="819"/>
      <c r="AC136" s="290"/>
      <c r="AD136" s="290"/>
    </row>
    <row r="137" spans="2:31" s="192" customFormat="1" ht="7.5" customHeight="1" x14ac:dyDescent="0.2">
      <c r="D137" s="289"/>
      <c r="E137" s="289"/>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row>
    <row r="138" spans="2:31" s="192" customFormat="1" ht="15" customHeight="1" x14ac:dyDescent="0.2">
      <c r="D138" s="289"/>
      <c r="E138" s="289"/>
      <c r="F138" s="660" t="s">
        <v>263</v>
      </c>
      <c r="G138" s="661"/>
      <c r="H138" s="661"/>
      <c r="I138" s="662"/>
      <c r="J138" s="286"/>
      <c r="K138" s="669" t="s">
        <v>294</v>
      </c>
      <c r="L138" s="670"/>
      <c r="M138" s="670"/>
      <c r="N138" s="670"/>
      <c r="O138" s="670"/>
      <c r="P138" s="670"/>
      <c r="Q138" s="670"/>
      <c r="R138" s="670"/>
      <c r="S138" s="670"/>
      <c r="T138" s="670"/>
      <c r="U138" s="670"/>
      <c r="V138" s="670"/>
      <c r="W138" s="670"/>
      <c r="X138" s="670"/>
      <c r="Y138" s="670"/>
      <c r="Z138" s="670"/>
      <c r="AA138" s="670"/>
      <c r="AB138" s="671"/>
      <c r="AC138" s="286"/>
      <c r="AD138" s="286"/>
    </row>
    <row r="139" spans="2:31" s="192" customFormat="1" ht="24.95" customHeight="1" x14ac:dyDescent="0.2">
      <c r="D139" s="289"/>
      <c r="E139" s="289"/>
      <c r="F139" s="663"/>
      <c r="G139" s="664"/>
      <c r="H139" s="664"/>
      <c r="I139" s="665"/>
      <c r="J139" s="286"/>
      <c r="K139" s="484" t="s">
        <v>289</v>
      </c>
      <c r="L139" s="485"/>
      <c r="M139" s="486"/>
      <c r="N139" s="484" t="s">
        <v>290</v>
      </c>
      <c r="O139" s="485"/>
      <c r="P139" s="486"/>
      <c r="Q139" s="484" t="s">
        <v>291</v>
      </c>
      <c r="R139" s="485"/>
      <c r="S139" s="486"/>
      <c r="T139" s="484" t="s">
        <v>292</v>
      </c>
      <c r="U139" s="485"/>
      <c r="V139" s="486"/>
      <c r="W139" s="484" t="s">
        <v>293</v>
      </c>
      <c r="X139" s="485"/>
      <c r="Y139" s="486"/>
      <c r="Z139" s="484" t="s">
        <v>295</v>
      </c>
      <c r="AA139" s="485"/>
      <c r="AB139" s="486"/>
      <c r="AC139" s="23"/>
      <c r="AD139" s="286"/>
    </row>
    <row r="140" spans="2:31" s="192" customFormat="1" ht="24.95" customHeight="1" x14ac:dyDescent="0.2">
      <c r="D140" s="289"/>
      <c r="E140" s="289"/>
      <c r="F140" s="509" t="s">
        <v>31</v>
      </c>
      <c r="G140" s="509"/>
      <c r="H140" s="509"/>
      <c r="I140" s="509"/>
      <c r="J140" s="286"/>
      <c r="K140" s="651">
        <v>6.7000000000000004E-2</v>
      </c>
      <c r="L140" s="652"/>
      <c r="M140" s="653"/>
      <c r="N140" s="651">
        <v>0.32100000000000001</v>
      </c>
      <c r="O140" s="652"/>
      <c r="P140" s="653"/>
      <c r="Q140" s="651">
        <v>7.3999999999999996E-2</v>
      </c>
      <c r="R140" s="652"/>
      <c r="S140" s="653"/>
      <c r="T140" s="651">
        <v>0.35699999999999998</v>
      </c>
      <c r="U140" s="652"/>
      <c r="V140" s="653"/>
      <c r="W140" s="651">
        <v>0.125</v>
      </c>
      <c r="X140" s="652"/>
      <c r="Y140" s="653"/>
      <c r="Z140" s="651">
        <v>0.23</v>
      </c>
      <c r="AA140" s="652"/>
      <c r="AB140" s="653"/>
      <c r="AC140" s="23"/>
      <c r="AD140" s="286"/>
    </row>
    <row r="141" spans="2:31" s="192" customFormat="1" ht="24.95" customHeight="1" x14ac:dyDescent="0.2">
      <c r="D141" s="289"/>
      <c r="E141" s="289"/>
      <c r="F141" s="509" t="s">
        <v>489</v>
      </c>
      <c r="G141" s="509"/>
      <c r="H141" s="509"/>
      <c r="I141" s="509"/>
      <c r="J141" s="286"/>
      <c r="K141" s="651">
        <v>9.4E-2</v>
      </c>
      <c r="L141" s="652"/>
      <c r="M141" s="653"/>
      <c r="N141" s="651">
        <v>0.52900000000000003</v>
      </c>
      <c r="O141" s="652"/>
      <c r="P141" s="653"/>
      <c r="Q141" s="651">
        <v>0.18</v>
      </c>
      <c r="R141" s="652"/>
      <c r="S141" s="653"/>
      <c r="T141" s="651">
        <v>0.35599999999999998</v>
      </c>
      <c r="U141" s="652"/>
      <c r="V141" s="653"/>
      <c r="W141" s="651">
        <v>9.7000000000000003E-2</v>
      </c>
      <c r="X141" s="652"/>
      <c r="Y141" s="653"/>
      <c r="Z141" s="651">
        <v>0.24199999999999999</v>
      </c>
      <c r="AA141" s="652"/>
      <c r="AB141" s="653"/>
      <c r="AC141" s="23"/>
      <c r="AD141" s="286"/>
    </row>
    <row r="142" spans="2:31" s="192" customFormat="1" ht="24.95" customHeight="1" x14ac:dyDescent="0.2">
      <c r="D142" s="289"/>
      <c r="E142" s="289"/>
      <c r="F142" s="509" t="s">
        <v>490</v>
      </c>
      <c r="G142" s="509"/>
      <c r="H142" s="509"/>
      <c r="I142" s="509"/>
      <c r="J142" s="286"/>
      <c r="K142" s="651">
        <v>9.0999999999999998E-2</v>
      </c>
      <c r="L142" s="652"/>
      <c r="M142" s="653"/>
      <c r="N142" s="651">
        <v>0.61299999999999999</v>
      </c>
      <c r="O142" s="652"/>
      <c r="P142" s="653"/>
      <c r="Q142" s="651">
        <v>0.23200000000000001</v>
      </c>
      <c r="R142" s="652"/>
      <c r="S142" s="653"/>
      <c r="T142" s="651">
        <v>0.40799999999999997</v>
      </c>
      <c r="U142" s="652"/>
      <c r="V142" s="653"/>
      <c r="W142" s="651">
        <v>9.7000000000000003E-2</v>
      </c>
      <c r="X142" s="652"/>
      <c r="Y142" s="653"/>
      <c r="Z142" s="651">
        <v>0.217</v>
      </c>
      <c r="AA142" s="652"/>
      <c r="AB142" s="653"/>
      <c r="AC142" s="23"/>
      <c r="AD142" s="286"/>
    </row>
    <row r="143" spans="2:31" s="192" customFormat="1" ht="24.95" customHeight="1" x14ac:dyDescent="0.2">
      <c r="D143" s="289"/>
      <c r="E143" s="289"/>
      <c r="F143" s="509" t="s">
        <v>493</v>
      </c>
      <c r="G143" s="509"/>
      <c r="H143" s="509"/>
      <c r="I143" s="509"/>
      <c r="J143" s="286"/>
      <c r="K143" s="651">
        <v>0.111</v>
      </c>
      <c r="L143" s="652"/>
      <c r="M143" s="653"/>
      <c r="N143" s="651">
        <v>0.64</v>
      </c>
      <c r="O143" s="652"/>
      <c r="P143" s="653"/>
      <c r="Q143" s="651">
        <v>0.24</v>
      </c>
      <c r="R143" s="652"/>
      <c r="S143" s="653"/>
      <c r="T143" s="651">
        <v>0.45200000000000001</v>
      </c>
      <c r="U143" s="652"/>
      <c r="V143" s="653"/>
      <c r="W143" s="651">
        <v>0.108</v>
      </c>
      <c r="X143" s="652"/>
      <c r="Y143" s="653"/>
      <c r="Z143" s="651">
        <v>0.14699999999999999</v>
      </c>
      <c r="AA143" s="652"/>
      <c r="AB143" s="653"/>
      <c r="AC143" s="23"/>
      <c r="AD143" s="286"/>
    </row>
    <row r="144" spans="2:31" s="192" customFormat="1" ht="24.95" customHeight="1" x14ac:dyDescent="0.2">
      <c r="D144" s="289"/>
      <c r="E144" s="289"/>
      <c r="F144" s="509" t="s">
        <v>38</v>
      </c>
      <c r="G144" s="509"/>
      <c r="H144" s="509"/>
      <c r="I144" s="509"/>
      <c r="J144" s="286"/>
      <c r="K144" s="651">
        <v>0.123</v>
      </c>
      <c r="L144" s="652"/>
      <c r="M144" s="653"/>
      <c r="N144" s="651">
        <v>0.63100000000000001</v>
      </c>
      <c r="O144" s="652"/>
      <c r="P144" s="653"/>
      <c r="Q144" s="651">
        <v>0.246</v>
      </c>
      <c r="R144" s="652"/>
      <c r="S144" s="653"/>
      <c r="T144" s="651">
        <v>0.51200000000000001</v>
      </c>
      <c r="U144" s="652"/>
      <c r="V144" s="653"/>
      <c r="W144" s="651">
        <v>0.154</v>
      </c>
      <c r="X144" s="652"/>
      <c r="Y144" s="653"/>
      <c r="Z144" s="651">
        <v>0.11</v>
      </c>
      <c r="AA144" s="652"/>
      <c r="AB144" s="653"/>
      <c r="AC144" s="23"/>
      <c r="AD144" s="286"/>
    </row>
    <row r="145" spans="4:30" s="192" customFormat="1" ht="24.95" customHeight="1" x14ac:dyDescent="0.2">
      <c r="D145" s="289"/>
      <c r="E145" s="289"/>
      <c r="F145" s="509" t="s">
        <v>492</v>
      </c>
      <c r="G145" s="509"/>
      <c r="H145" s="509"/>
      <c r="I145" s="509"/>
      <c r="J145" s="286"/>
      <c r="K145" s="651">
        <v>0.123</v>
      </c>
      <c r="L145" s="652"/>
      <c r="M145" s="653"/>
      <c r="N145" s="651">
        <v>0.63100000000000001</v>
      </c>
      <c r="O145" s="652"/>
      <c r="P145" s="653"/>
      <c r="Q145" s="651">
        <v>0.246</v>
      </c>
      <c r="R145" s="652"/>
      <c r="S145" s="653"/>
      <c r="T145" s="651">
        <v>0.51200000000000001</v>
      </c>
      <c r="U145" s="652"/>
      <c r="V145" s="653"/>
      <c r="W145" s="651">
        <v>0.154</v>
      </c>
      <c r="X145" s="652"/>
      <c r="Y145" s="653"/>
      <c r="Z145" s="651">
        <v>0.11</v>
      </c>
      <c r="AA145" s="652"/>
      <c r="AB145" s="653"/>
      <c r="AC145" s="23"/>
      <c r="AD145" s="286"/>
    </row>
    <row r="146" spans="4:30" s="192" customFormat="1" ht="24.95" customHeight="1" x14ac:dyDescent="0.2">
      <c r="D146" s="289"/>
      <c r="E146" s="289"/>
      <c r="F146" s="509" t="s">
        <v>491</v>
      </c>
      <c r="G146" s="509"/>
      <c r="H146" s="509"/>
      <c r="I146" s="509"/>
      <c r="J146" s="286"/>
      <c r="K146" s="651">
        <v>6.0999999999999999E-2</v>
      </c>
      <c r="L146" s="652"/>
      <c r="M146" s="653"/>
      <c r="N146" s="651">
        <v>0.60599999999999998</v>
      </c>
      <c r="O146" s="652"/>
      <c r="P146" s="653"/>
      <c r="Q146" s="651">
        <v>0.215</v>
      </c>
      <c r="R146" s="652"/>
      <c r="S146" s="653"/>
      <c r="T146" s="651">
        <v>0.69199999999999995</v>
      </c>
      <c r="U146" s="652"/>
      <c r="V146" s="653"/>
      <c r="W146" s="651">
        <v>0.33200000000000002</v>
      </c>
      <c r="X146" s="652"/>
      <c r="Y146" s="653"/>
      <c r="Z146" s="651">
        <v>4.1000000000000002E-2</v>
      </c>
      <c r="AA146" s="652"/>
      <c r="AB146" s="653"/>
      <c r="AC146" s="23"/>
      <c r="AD146" s="286"/>
    </row>
    <row r="147" spans="4:30" s="192" customFormat="1" ht="7.5" customHeight="1" x14ac:dyDescent="0.2">
      <c r="D147" s="289"/>
      <c r="E147" s="289"/>
      <c r="F147" s="235"/>
      <c r="G147" s="235"/>
      <c r="H147" s="235"/>
      <c r="I147" s="235"/>
      <c r="J147" s="286"/>
      <c r="K147" s="28"/>
      <c r="L147" s="28"/>
      <c r="M147" s="28"/>
      <c r="N147" s="28"/>
      <c r="O147" s="28"/>
      <c r="P147" s="28"/>
      <c r="Q147" s="28"/>
      <c r="R147" s="28"/>
      <c r="S147" s="28"/>
      <c r="T147" s="28"/>
      <c r="U147" s="28"/>
      <c r="V147" s="28"/>
      <c r="W147" s="28"/>
      <c r="X147" s="28"/>
      <c r="Y147" s="28"/>
      <c r="Z147" s="28"/>
      <c r="AA147" s="28"/>
      <c r="AB147" s="28"/>
      <c r="AC147" s="23"/>
      <c r="AD147" s="286"/>
    </row>
    <row r="148" spans="4:30" s="192" customFormat="1" ht="24.95" customHeight="1" x14ac:dyDescent="0.2">
      <c r="D148" s="289"/>
      <c r="E148" s="289"/>
      <c r="F148" s="679" t="s">
        <v>228</v>
      </c>
      <c r="G148" s="680"/>
      <c r="H148" s="680"/>
      <c r="I148" s="681"/>
      <c r="J148" s="286"/>
      <c r="K148" s="682" t="s">
        <v>605</v>
      </c>
      <c r="L148" s="683"/>
      <c r="M148" s="683"/>
      <c r="N148" s="683"/>
      <c r="O148" s="683"/>
      <c r="P148" s="683"/>
      <c r="Q148" s="683"/>
      <c r="R148" s="683"/>
      <c r="S148" s="683"/>
      <c r="T148" s="683"/>
      <c r="U148" s="683"/>
      <c r="V148" s="683"/>
      <c r="W148" s="683"/>
      <c r="X148" s="683"/>
      <c r="Y148" s="683"/>
      <c r="Z148" s="683"/>
      <c r="AA148" s="683"/>
      <c r="AB148" s="684"/>
      <c r="AC148" s="23"/>
      <c r="AD148" s="286"/>
    </row>
    <row r="149" spans="4:30" s="192" customFormat="1" ht="21" customHeight="1" x14ac:dyDescent="0.2">
      <c r="D149" s="289"/>
      <c r="E149" s="289"/>
      <c r="F149" s="685" t="s">
        <v>604</v>
      </c>
      <c r="G149" s="685"/>
      <c r="H149" s="685"/>
      <c r="I149" s="685"/>
      <c r="J149" s="685"/>
      <c r="K149" s="28"/>
      <c r="L149" s="28"/>
      <c r="M149" s="28"/>
      <c r="N149" s="28"/>
      <c r="O149" s="28"/>
      <c r="P149" s="28"/>
      <c r="Q149" s="28"/>
      <c r="R149" s="28"/>
      <c r="S149" s="28"/>
      <c r="T149" s="28"/>
      <c r="U149" s="28"/>
      <c r="V149" s="28"/>
      <c r="W149" s="28"/>
      <c r="X149" s="28"/>
      <c r="Y149" s="28"/>
      <c r="Z149" s="28"/>
      <c r="AA149" s="28"/>
      <c r="AB149" s="28"/>
      <c r="AC149" s="23"/>
      <c r="AD149" s="286"/>
    </row>
    <row r="151" spans="4:30" s="192" customFormat="1" ht="15.75" customHeight="1" x14ac:dyDescent="0.2">
      <c r="D151" s="193"/>
      <c r="E151" s="193"/>
      <c r="F151" s="657" t="s">
        <v>548</v>
      </c>
      <c r="G151" s="658"/>
      <c r="H151" s="658"/>
      <c r="I151" s="658"/>
      <c r="J151" s="658"/>
      <c r="K151" s="658"/>
      <c r="L151" s="658"/>
      <c r="M151" s="658"/>
      <c r="N151" s="658"/>
      <c r="O151" s="658"/>
      <c r="P151" s="658"/>
      <c r="Q151" s="658"/>
      <c r="R151" s="658"/>
      <c r="S151" s="658"/>
      <c r="T151" s="658"/>
      <c r="U151" s="658"/>
      <c r="V151" s="658"/>
      <c r="W151" s="658"/>
      <c r="X151" s="658"/>
      <c r="Y151" s="658"/>
      <c r="Z151" s="658"/>
      <c r="AA151" s="658"/>
      <c r="AB151" s="659"/>
    </row>
    <row r="152" spans="4:30" s="192" customFormat="1" ht="7.5" customHeight="1" x14ac:dyDescent="0.2">
      <c r="D152" s="289"/>
      <c r="E152" s="289"/>
      <c r="F152" s="286"/>
      <c r="G152" s="286"/>
      <c r="H152" s="286"/>
      <c r="I152" s="286"/>
      <c r="J152" s="286"/>
      <c r="K152" s="286"/>
      <c r="L152" s="286"/>
      <c r="M152" s="286"/>
      <c r="N152" s="286"/>
      <c r="O152" s="286"/>
      <c r="P152" s="286"/>
      <c r="Q152" s="286"/>
      <c r="R152" s="286"/>
      <c r="S152" s="286"/>
      <c r="T152" s="286"/>
      <c r="U152" s="286"/>
      <c r="V152" s="286"/>
      <c r="W152" s="286"/>
      <c r="X152" s="286"/>
      <c r="Y152" s="286"/>
      <c r="Z152" s="286"/>
      <c r="AA152" s="286"/>
      <c r="AB152" s="286"/>
      <c r="AC152" s="286"/>
      <c r="AD152" s="286"/>
    </row>
    <row r="153" spans="4:30" s="192" customFormat="1" ht="15.75" customHeight="1" x14ac:dyDescent="0.2">
      <c r="D153" s="289"/>
      <c r="E153" s="289"/>
      <c r="F153" s="660" t="s">
        <v>263</v>
      </c>
      <c r="G153" s="661"/>
      <c r="H153" s="661"/>
      <c r="I153" s="662"/>
      <c r="J153" s="286"/>
      <c r="K153" s="669" t="s">
        <v>294</v>
      </c>
      <c r="L153" s="670"/>
      <c r="M153" s="670"/>
      <c r="N153" s="670"/>
      <c r="O153" s="670"/>
      <c r="P153" s="670"/>
      <c r="Q153" s="670"/>
      <c r="R153" s="670"/>
      <c r="S153" s="670"/>
      <c r="T153" s="670"/>
      <c r="U153" s="670"/>
      <c r="V153" s="670"/>
      <c r="W153" s="670"/>
      <c r="X153" s="670"/>
      <c r="Y153" s="670"/>
      <c r="Z153" s="670"/>
      <c r="AA153" s="670"/>
      <c r="AB153" s="671"/>
      <c r="AC153" s="286"/>
      <c r="AD153" s="286"/>
    </row>
    <row r="154" spans="4:30" s="192" customFormat="1" ht="24.95" customHeight="1" x14ac:dyDescent="0.2">
      <c r="D154" s="289"/>
      <c r="E154" s="289"/>
      <c r="F154" s="663"/>
      <c r="G154" s="664"/>
      <c r="H154" s="664"/>
      <c r="I154" s="665"/>
      <c r="J154" s="286"/>
      <c r="K154" s="484" t="s">
        <v>289</v>
      </c>
      <c r="L154" s="485"/>
      <c r="M154" s="486"/>
      <c r="N154" s="484" t="s">
        <v>290</v>
      </c>
      <c r="O154" s="485"/>
      <c r="P154" s="486"/>
      <c r="Q154" s="484" t="s">
        <v>291</v>
      </c>
      <c r="R154" s="485"/>
      <c r="S154" s="486"/>
      <c r="T154" s="484" t="s">
        <v>292</v>
      </c>
      <c r="U154" s="485"/>
      <c r="V154" s="486"/>
      <c r="W154" s="484" t="s">
        <v>293</v>
      </c>
      <c r="X154" s="485"/>
      <c r="Y154" s="486"/>
      <c r="Z154" s="484" t="s">
        <v>295</v>
      </c>
      <c r="AA154" s="485"/>
      <c r="AB154" s="486"/>
      <c r="AC154" s="23"/>
      <c r="AD154" s="286"/>
    </row>
    <row r="155" spans="4:30" s="192" customFormat="1" ht="24.95" customHeight="1" x14ac:dyDescent="0.2">
      <c r="D155" s="289"/>
      <c r="E155" s="289"/>
      <c r="F155" s="509" t="s">
        <v>31</v>
      </c>
      <c r="G155" s="509"/>
      <c r="H155" s="509"/>
      <c r="I155" s="509"/>
      <c r="J155" s="286"/>
      <c r="K155" s="569">
        <f>CADASTRO!$BS$17*' POP. ALVO'!K140</f>
        <v>17.956</v>
      </c>
      <c r="L155" s="569"/>
      <c r="M155" s="569"/>
      <c r="N155" s="569">
        <f>CADASTRO!$BS$17*' POP. ALVO'!N140</f>
        <v>86.028000000000006</v>
      </c>
      <c r="O155" s="569"/>
      <c r="P155" s="569"/>
      <c r="Q155" s="569">
        <f>CADASTRO!$BS$17*' POP. ALVO'!Q140</f>
        <v>19.832000000000001</v>
      </c>
      <c r="R155" s="569"/>
      <c r="S155" s="569"/>
      <c r="T155" s="569">
        <f>CADASTRO!$BS$17*' POP. ALVO'!T140</f>
        <v>95.676000000000002</v>
      </c>
      <c r="U155" s="569"/>
      <c r="V155" s="569"/>
      <c r="W155" s="569">
        <f>CADASTRO!$BS$17*' POP. ALVO'!W140</f>
        <v>33.5</v>
      </c>
      <c r="X155" s="569"/>
      <c r="Y155" s="569"/>
      <c r="Z155" s="569">
        <f>CADASTRO!$BS$17*' POP. ALVO'!Z140</f>
        <v>61.64</v>
      </c>
      <c r="AA155" s="569"/>
      <c r="AB155" s="569"/>
      <c r="AC155" s="23"/>
      <c r="AD155" s="286"/>
    </row>
    <row r="156" spans="4:30" s="192" customFormat="1" ht="24.95" customHeight="1" x14ac:dyDescent="0.2">
      <c r="D156" s="289"/>
      <c r="E156" s="289"/>
      <c r="F156" s="509" t="s">
        <v>489</v>
      </c>
      <c r="G156" s="509"/>
      <c r="H156" s="509"/>
      <c r="I156" s="509"/>
      <c r="J156" s="286"/>
      <c r="K156" s="569">
        <f>(CADASTRO!$BS$18+CADASTRO!$BS$19)*' POP. ALVO'!K141</f>
        <v>50.008000000000003</v>
      </c>
      <c r="L156" s="569"/>
      <c r="M156" s="569"/>
      <c r="N156" s="569">
        <f>(CADASTRO!$BS$18+CADASTRO!$BS$19)*' POP. ALVO'!N141</f>
        <v>281.428</v>
      </c>
      <c r="O156" s="569"/>
      <c r="P156" s="569"/>
      <c r="Q156" s="569">
        <f>(CADASTRO!$BS$18+CADASTRO!$BS$19)*' POP. ALVO'!Q141</f>
        <v>95.759999999999991</v>
      </c>
      <c r="R156" s="569"/>
      <c r="S156" s="569"/>
      <c r="T156" s="569">
        <f>(CADASTRO!$BS$18+CADASTRO!$BS$19)*' POP. ALVO'!T141</f>
        <v>189.392</v>
      </c>
      <c r="U156" s="569"/>
      <c r="V156" s="569"/>
      <c r="W156" s="569">
        <f>(CADASTRO!$BS$18+CADASTRO!$BS$19)*' POP. ALVO'!W141</f>
        <v>51.603999999999999</v>
      </c>
      <c r="X156" s="569"/>
      <c r="Y156" s="569"/>
      <c r="Z156" s="569">
        <f>(CADASTRO!$BS$18+CADASTRO!$BS$19)*' POP. ALVO'!Z141</f>
        <v>128.744</v>
      </c>
      <c r="AA156" s="569"/>
      <c r="AB156" s="569"/>
      <c r="AC156" s="23"/>
      <c r="AD156" s="286"/>
    </row>
    <row r="157" spans="4:30" s="192" customFormat="1" ht="24.95" customHeight="1" x14ac:dyDescent="0.2">
      <c r="D157" s="289"/>
      <c r="E157" s="289"/>
      <c r="F157" s="509" t="s">
        <v>490</v>
      </c>
      <c r="G157" s="509"/>
      <c r="H157" s="509"/>
      <c r="I157" s="509"/>
      <c r="J157" s="286"/>
      <c r="K157" s="569">
        <f>(CADASTRO!$BS$20+CADASTRO!$BS$21)*' POP. ALVO'!K142</f>
        <v>42.132999999999996</v>
      </c>
      <c r="L157" s="569"/>
      <c r="M157" s="569"/>
      <c r="N157" s="569">
        <f>(CADASTRO!$BS$20+CADASTRO!$BS$21)*' POP. ALVO'!N142</f>
        <v>283.81900000000002</v>
      </c>
      <c r="O157" s="569"/>
      <c r="P157" s="569"/>
      <c r="Q157" s="569">
        <f>(CADASTRO!$BS$20+CADASTRO!$BS$21)*' POP. ALVO'!Q142</f>
        <v>107.41600000000001</v>
      </c>
      <c r="R157" s="569"/>
      <c r="S157" s="569"/>
      <c r="T157" s="569">
        <f>(CADASTRO!$BS$20+CADASTRO!$BS$21)*' POP. ALVO'!T142</f>
        <v>188.904</v>
      </c>
      <c r="U157" s="569"/>
      <c r="V157" s="569"/>
      <c r="W157" s="569">
        <f>(CADASTRO!$BS$20+CADASTRO!$BS$21)*' POP. ALVO'!W142</f>
        <v>44.911000000000001</v>
      </c>
      <c r="X157" s="569"/>
      <c r="Y157" s="569"/>
      <c r="Z157" s="569">
        <f>(CADASTRO!$BS$20+CADASTRO!$BS$21)*' POP. ALVO'!Z142</f>
        <v>100.471</v>
      </c>
      <c r="AA157" s="569"/>
      <c r="AB157" s="569"/>
      <c r="AC157" s="23"/>
      <c r="AD157" s="286"/>
    </row>
    <row r="158" spans="4:30" s="192" customFormat="1" ht="24.95" customHeight="1" x14ac:dyDescent="0.2">
      <c r="D158" s="289"/>
      <c r="E158" s="289"/>
      <c r="F158" s="509" t="s">
        <v>493</v>
      </c>
      <c r="G158" s="509"/>
      <c r="H158" s="509"/>
      <c r="I158" s="509"/>
      <c r="J158" s="286"/>
      <c r="K158" s="569">
        <f>(CADASTRO!$BS$22+CADASTRO!$BS$23)*' POP. ALVO'!K143</f>
        <v>49.616999999999997</v>
      </c>
      <c r="L158" s="569"/>
      <c r="M158" s="569"/>
      <c r="N158" s="569">
        <f>(CADASTRO!$BS$22+CADASTRO!$BS$23)*' POP. ALVO'!N143</f>
        <v>286.08</v>
      </c>
      <c r="O158" s="569"/>
      <c r="P158" s="569"/>
      <c r="Q158" s="569">
        <f>(CADASTRO!$BS$22+CADASTRO!$BS$23)*' POP. ALVO'!Q143</f>
        <v>107.28</v>
      </c>
      <c r="R158" s="569"/>
      <c r="S158" s="569"/>
      <c r="T158" s="569">
        <f>(CADASTRO!$BS$22+CADASTRO!$BS$23)*' POP. ALVO'!T143</f>
        <v>202.04400000000001</v>
      </c>
      <c r="U158" s="569"/>
      <c r="V158" s="569"/>
      <c r="W158" s="842">
        <f>(CADASTRO!$BS$22+CADASTRO!$BS$23)*' POP. ALVO'!W143</f>
        <v>48.275999999999996</v>
      </c>
      <c r="X158" s="843"/>
      <c r="Y158" s="844"/>
      <c r="Z158" s="569">
        <f>(CADASTRO!$BS$22+CADASTRO!$BS$23)*' POP. ALVO'!Z143</f>
        <v>65.709000000000003</v>
      </c>
      <c r="AA158" s="569"/>
      <c r="AB158" s="569"/>
      <c r="AC158" s="23"/>
      <c r="AD158" s="286"/>
    </row>
    <row r="159" spans="4:30" s="192" customFormat="1" ht="24.95" customHeight="1" x14ac:dyDescent="0.2">
      <c r="D159" s="289"/>
      <c r="E159" s="289"/>
      <c r="F159" s="509" t="s">
        <v>38</v>
      </c>
      <c r="G159" s="509"/>
      <c r="H159" s="509"/>
      <c r="I159" s="509"/>
      <c r="J159" s="286"/>
      <c r="K159" s="569">
        <f>CADASTRO!$BS$24*' POP. ALVO'!K144</f>
        <v>30.75</v>
      </c>
      <c r="L159" s="569"/>
      <c r="M159" s="569"/>
      <c r="N159" s="569">
        <f>CADASTRO!$BS$24*' POP. ALVO'!N144</f>
        <v>157.75</v>
      </c>
      <c r="O159" s="569"/>
      <c r="P159" s="569"/>
      <c r="Q159" s="569">
        <f>CADASTRO!$BS$24*' POP. ALVO'!Q144</f>
        <v>61.5</v>
      </c>
      <c r="R159" s="569"/>
      <c r="S159" s="569"/>
      <c r="T159" s="569">
        <f>CADASTRO!$BS$24*' POP. ALVO'!T144</f>
        <v>128</v>
      </c>
      <c r="U159" s="569"/>
      <c r="V159" s="569"/>
      <c r="W159" s="569">
        <f>CADASTRO!$BS$24*' POP. ALVO'!W144</f>
        <v>38.5</v>
      </c>
      <c r="X159" s="569"/>
      <c r="Y159" s="569"/>
      <c r="Z159" s="569">
        <f>CADASTRO!$BS$24*' POP. ALVO'!Z144</f>
        <v>27.5</v>
      </c>
      <c r="AA159" s="569"/>
      <c r="AB159" s="569"/>
      <c r="AC159" s="23"/>
      <c r="AD159" s="286"/>
    </row>
    <row r="160" spans="4:30" s="192" customFormat="1" ht="24.95" customHeight="1" x14ac:dyDescent="0.2">
      <c r="D160" s="289"/>
      <c r="E160" s="289"/>
      <c r="F160" s="509" t="s">
        <v>492</v>
      </c>
      <c r="G160" s="509"/>
      <c r="H160" s="509"/>
      <c r="I160" s="509"/>
      <c r="J160" s="286"/>
      <c r="K160" s="569">
        <f>(CADASTRO!$BS$27)*' POP. ALVO'!K145</f>
        <v>6.15</v>
      </c>
      <c r="L160" s="569"/>
      <c r="M160" s="569"/>
      <c r="N160" s="569">
        <f>(CADASTRO!$BS$27)*' POP. ALVO'!N145</f>
        <v>31.55</v>
      </c>
      <c r="O160" s="569"/>
      <c r="P160" s="569"/>
      <c r="Q160" s="569">
        <f>(CADASTRO!$BS$27)*' POP. ALVO'!Q145</f>
        <v>12.3</v>
      </c>
      <c r="R160" s="569"/>
      <c r="S160" s="569"/>
      <c r="T160" s="569">
        <f>(CADASTRO!$BS$27)*' POP. ALVO'!T145</f>
        <v>25.6</v>
      </c>
      <c r="U160" s="569"/>
      <c r="V160" s="569"/>
      <c r="W160" s="569">
        <f>(CADASTRO!$BS$27)*' POP. ALVO'!W145</f>
        <v>7.7</v>
      </c>
      <c r="X160" s="569"/>
      <c r="Y160" s="569"/>
      <c r="Z160" s="569">
        <f>(CADASTRO!$BS$27)*' POP. ALVO'!Z145</f>
        <v>5.5</v>
      </c>
      <c r="AA160" s="569"/>
      <c r="AB160" s="569"/>
      <c r="AC160" s="23"/>
      <c r="AD160" s="286"/>
    </row>
    <row r="161" spans="1:31" s="192" customFormat="1" ht="24.95" customHeight="1" x14ac:dyDescent="0.2">
      <c r="D161" s="289"/>
      <c r="E161" s="289"/>
      <c r="F161" s="509" t="s">
        <v>491</v>
      </c>
      <c r="G161" s="509"/>
      <c r="H161" s="509"/>
      <c r="I161" s="509"/>
      <c r="J161" s="286"/>
      <c r="K161" s="841">
        <f>(CADASTRO!$BS$28+CADASTRO!$BS$29+CADASTRO!$BS$30+CADASTRO!$BS$31)*' POP. ALVO'!K146</f>
        <v>5.49</v>
      </c>
      <c r="L161" s="841"/>
      <c r="M161" s="841"/>
      <c r="N161" s="841">
        <f>(CADASTRO!$BS$28+CADASTRO!$BS$29+CADASTRO!$BS$30+CADASTRO!$BS$31)*' POP. ALVO'!N146</f>
        <v>54.54</v>
      </c>
      <c r="O161" s="841"/>
      <c r="P161" s="841"/>
      <c r="Q161" s="841">
        <f>(CADASTRO!$BS$28+CADASTRO!$BS$29+CADASTRO!$BS$30+CADASTRO!$BS$31)*' POP. ALVO'!Q146</f>
        <v>19.350000000000001</v>
      </c>
      <c r="R161" s="841"/>
      <c r="S161" s="841"/>
      <c r="T161" s="841">
        <f>(CADASTRO!$BS$28+CADASTRO!$BS$29+CADASTRO!$BS$30+CADASTRO!$BS$31)*' POP. ALVO'!T146</f>
        <v>62.279999999999994</v>
      </c>
      <c r="U161" s="841"/>
      <c r="V161" s="841"/>
      <c r="W161" s="841">
        <f>(CADASTRO!$BS$28+CADASTRO!$BS$29+CADASTRO!$BS$30+CADASTRO!$BS$31)*' POP. ALVO'!W146</f>
        <v>29.880000000000003</v>
      </c>
      <c r="X161" s="841"/>
      <c r="Y161" s="841"/>
      <c r="Z161" s="841">
        <f>(CADASTRO!$BS$28+CADASTRO!$BS$29+CADASTRO!$BS$30+CADASTRO!$BS$31)*' POP. ALVO'!Z146</f>
        <v>3.69</v>
      </c>
      <c r="AA161" s="841"/>
      <c r="AB161" s="841"/>
      <c r="AC161" s="23"/>
      <c r="AD161" s="286"/>
    </row>
    <row r="162" spans="1:31" s="192" customFormat="1" ht="24.95" customHeight="1" x14ac:dyDescent="0.2">
      <c r="D162" s="289"/>
      <c r="E162" s="289"/>
      <c r="F162" s="847" t="s">
        <v>301</v>
      </c>
      <c r="G162" s="847"/>
      <c r="H162" s="847"/>
      <c r="I162" s="847"/>
      <c r="J162" s="291"/>
      <c r="K162" s="845">
        <f>SUM(K155:M161)</f>
        <v>202.10400000000001</v>
      </c>
      <c r="L162" s="845"/>
      <c r="M162" s="845"/>
      <c r="N162" s="845">
        <f>SUM(N155:P161)</f>
        <v>1181.1949999999999</v>
      </c>
      <c r="O162" s="845"/>
      <c r="P162" s="845"/>
      <c r="Q162" s="845">
        <f>SUM(Q155:S161)</f>
        <v>423.43800000000005</v>
      </c>
      <c r="R162" s="845"/>
      <c r="S162" s="845"/>
      <c r="T162" s="845">
        <f>SUM(T155:V161)</f>
        <v>891.89599999999996</v>
      </c>
      <c r="U162" s="845"/>
      <c r="V162" s="845"/>
      <c r="W162" s="845">
        <f>SUM(W155:Y161)</f>
        <v>254.37099999999998</v>
      </c>
      <c r="X162" s="845"/>
      <c r="Y162" s="845"/>
      <c r="Z162" s="845">
        <f>SUM(Z155:AB161)</f>
        <v>393.25400000000002</v>
      </c>
      <c r="AA162" s="845"/>
      <c r="AB162" s="845"/>
      <c r="AC162" s="23"/>
      <c r="AD162" s="286"/>
    </row>
    <row r="163" spans="1:31" s="192" customFormat="1" ht="7.5" customHeight="1" x14ac:dyDescent="0.2">
      <c r="D163" s="289"/>
      <c r="E163" s="289"/>
      <c r="F163" s="235"/>
      <c r="G163" s="235"/>
      <c r="H163" s="235"/>
      <c r="I163" s="235"/>
      <c r="J163" s="286"/>
      <c r="K163" s="29"/>
      <c r="L163" s="235"/>
      <c r="M163" s="235"/>
      <c r="N163" s="29"/>
      <c r="O163" s="235"/>
      <c r="P163" s="235"/>
      <c r="Q163" s="29"/>
      <c r="R163" s="235"/>
      <c r="S163" s="235"/>
      <c r="T163" s="29"/>
      <c r="U163" s="235"/>
      <c r="V163" s="235"/>
      <c r="W163" s="29"/>
      <c r="X163" s="235"/>
      <c r="Y163" s="235"/>
      <c r="Z163" s="29"/>
      <c r="AA163" s="235"/>
      <c r="AB163" s="235"/>
      <c r="AC163" s="23"/>
      <c r="AD163" s="286"/>
    </row>
    <row r="164" spans="1:31" s="192" customFormat="1" ht="24.95" customHeight="1" x14ac:dyDescent="0.2">
      <c r="D164" s="289"/>
      <c r="E164" s="289"/>
      <c r="F164" s="679" t="s">
        <v>228</v>
      </c>
      <c r="G164" s="680"/>
      <c r="H164" s="680"/>
      <c r="I164" s="681"/>
      <c r="J164" s="286"/>
      <c r="K164" s="846">
        <f>CADASTRO!AU15+CADASTRO!AU17+CADASTRO!AU18+CADASTRO!AU19+CADASTRO!AU20+CADASTRO!AU21+CADASTRO!AU22</f>
        <v>1190</v>
      </c>
      <c r="L164" s="509"/>
      <c r="M164" s="509"/>
      <c r="N164" s="30"/>
      <c r="O164" s="30"/>
      <c r="P164" s="30"/>
      <c r="Q164" s="30"/>
      <c r="R164" s="30"/>
      <c r="S164" s="30"/>
      <c r="T164" s="30"/>
      <c r="U164" s="30"/>
      <c r="V164" s="30"/>
      <c r="W164" s="30"/>
      <c r="X164" s="30"/>
      <c r="Y164" s="30"/>
      <c r="Z164" s="30"/>
      <c r="AA164" s="30"/>
      <c r="AB164" s="30"/>
      <c r="AC164" s="23"/>
      <c r="AD164" s="286"/>
    </row>
    <row r="166" spans="1:31" s="192" customFormat="1" ht="32.25" customHeight="1" x14ac:dyDescent="0.2">
      <c r="C166" s="4"/>
      <c r="F166" s="779" t="s">
        <v>713</v>
      </c>
      <c r="G166" s="780"/>
      <c r="H166" s="780"/>
      <c r="I166" s="780"/>
      <c r="J166" s="780"/>
      <c r="K166" s="780"/>
      <c r="L166" s="780"/>
      <c r="M166" s="780"/>
      <c r="N166" s="780"/>
      <c r="O166" s="780"/>
      <c r="P166" s="780"/>
      <c r="Q166" s="780"/>
      <c r="R166" s="780"/>
      <c r="S166" s="780"/>
      <c r="T166" s="780"/>
      <c r="U166" s="780"/>
      <c r="V166" s="780"/>
      <c r="W166" s="780"/>
      <c r="X166" s="780"/>
      <c r="Y166" s="781"/>
      <c r="Z166" s="48"/>
      <c r="AA166" s="48"/>
      <c r="AB166" s="48"/>
      <c r="AC166" s="48"/>
      <c r="AD166" s="48"/>
      <c r="AE166" s="48"/>
    </row>
    <row r="167" spans="1:31" s="192" customFormat="1" ht="32.25" customHeight="1" x14ac:dyDescent="0.2">
      <c r="A167" s="491"/>
      <c r="B167" s="491"/>
      <c r="C167" s="491"/>
      <c r="D167" s="491"/>
      <c r="F167" s="749" t="s">
        <v>414</v>
      </c>
      <c r="G167" s="750"/>
      <c r="H167" s="750"/>
      <c r="I167" s="750"/>
      <c r="J167" s="750"/>
      <c r="K167" s="750"/>
      <c r="L167" s="751"/>
      <c r="M167" s="749" t="s">
        <v>602</v>
      </c>
      <c r="N167" s="750"/>
      <c r="O167" s="751"/>
      <c r="P167" s="749" t="s">
        <v>594</v>
      </c>
      <c r="Q167" s="750"/>
      <c r="R167" s="751"/>
      <c r="S167" s="749" t="s">
        <v>544</v>
      </c>
      <c r="T167" s="750"/>
      <c r="U167" s="751"/>
      <c r="V167" s="749" t="s">
        <v>606</v>
      </c>
      <c r="W167" s="750"/>
      <c r="X167" s="750"/>
      <c r="Y167" s="750"/>
      <c r="Z167" s="249"/>
      <c r="AA167" s="49"/>
      <c r="AB167" s="49"/>
      <c r="AC167" s="48"/>
    </row>
    <row r="168" spans="1:31" s="192" customFormat="1" ht="32.25" customHeight="1" x14ac:dyDescent="0.2">
      <c r="A168" s="491"/>
      <c r="B168" s="491"/>
      <c r="C168" s="491"/>
      <c r="D168" s="491"/>
      <c r="F168" s="783" t="s">
        <v>417</v>
      </c>
      <c r="G168" s="783"/>
      <c r="H168" s="783"/>
      <c r="I168" s="783"/>
      <c r="J168" s="784">
        <f>K162</f>
        <v>202.10400000000001</v>
      </c>
      <c r="K168" s="785"/>
      <c r="L168" s="786"/>
      <c r="M168" s="666">
        <v>21</v>
      </c>
      <c r="N168" s="667"/>
      <c r="O168" s="668"/>
      <c r="P168" s="869">
        <f>M168/J168</f>
        <v>0.10390689941812135</v>
      </c>
      <c r="Q168" s="870"/>
      <c r="R168" s="871"/>
      <c r="S168" s="872">
        <v>0.5</v>
      </c>
      <c r="T168" s="873"/>
      <c r="U168" s="874"/>
      <c r="V168" s="875">
        <f>J168*S168</f>
        <v>101.05200000000001</v>
      </c>
      <c r="W168" s="876"/>
      <c r="X168" s="876"/>
      <c r="Y168" s="877"/>
      <c r="Z168" s="25"/>
      <c r="AA168" s="25"/>
      <c r="AB168" s="25"/>
      <c r="AC168" s="25"/>
    </row>
    <row r="169" spans="1:31" s="192" customFormat="1" ht="32.25" customHeight="1" x14ac:dyDescent="0.2">
      <c r="A169" s="491"/>
      <c r="B169" s="491"/>
      <c r="C169" s="491"/>
      <c r="D169" s="491"/>
      <c r="F169" s="783" t="s">
        <v>418</v>
      </c>
      <c r="G169" s="783"/>
      <c r="H169" s="783"/>
      <c r="I169" s="783"/>
      <c r="J169" s="784">
        <f>N162+Q162</f>
        <v>1604.633</v>
      </c>
      <c r="K169" s="785"/>
      <c r="L169" s="786"/>
      <c r="M169" s="666">
        <v>50</v>
      </c>
      <c r="N169" s="667"/>
      <c r="O169" s="668"/>
      <c r="P169" s="869">
        <f>M169/J169</f>
        <v>3.1159772982357958E-2</v>
      </c>
      <c r="Q169" s="870"/>
      <c r="R169" s="871"/>
      <c r="S169" s="872">
        <v>0.5</v>
      </c>
      <c r="T169" s="873"/>
      <c r="U169" s="874"/>
      <c r="V169" s="875">
        <f>J169*S169</f>
        <v>802.31650000000002</v>
      </c>
      <c r="W169" s="876"/>
      <c r="X169" s="876"/>
      <c r="Y169" s="877"/>
      <c r="Z169" s="25"/>
      <c r="AA169" s="25"/>
      <c r="AB169" s="25"/>
      <c r="AC169" s="25"/>
    </row>
    <row r="170" spans="1:31" s="192" customFormat="1" ht="56.25" customHeight="1" x14ac:dyDescent="0.2">
      <c r="A170" s="235"/>
      <c r="B170" s="235"/>
      <c r="C170" s="235"/>
      <c r="D170" s="235"/>
      <c r="F170" s="783" t="s">
        <v>419</v>
      </c>
      <c r="G170" s="783"/>
      <c r="H170" s="783"/>
      <c r="I170" s="783"/>
      <c r="J170" s="784">
        <f>T162+W162</f>
        <v>1146.2669999999998</v>
      </c>
      <c r="K170" s="785"/>
      <c r="L170" s="786"/>
      <c r="M170" s="666">
        <v>200</v>
      </c>
      <c r="N170" s="667"/>
      <c r="O170" s="668"/>
      <c r="P170" s="869">
        <f>M170/J170</f>
        <v>0.17447941884395174</v>
      </c>
      <c r="Q170" s="870"/>
      <c r="R170" s="871"/>
      <c r="S170" s="872">
        <v>0.5</v>
      </c>
      <c r="T170" s="873"/>
      <c r="U170" s="874"/>
      <c r="V170" s="875">
        <f>J170*S170</f>
        <v>573.13349999999991</v>
      </c>
      <c r="W170" s="876"/>
      <c r="X170" s="876"/>
      <c r="Y170" s="877"/>
      <c r="Z170" s="1"/>
      <c r="AA170" s="1"/>
      <c r="AB170" s="1"/>
      <c r="AC170" s="25"/>
    </row>
    <row r="171" spans="1:31" s="192" customFormat="1" ht="50.25" customHeight="1" x14ac:dyDescent="0.2">
      <c r="A171" s="235"/>
      <c r="B171" s="235"/>
      <c r="C171" s="235"/>
      <c r="D171" s="235"/>
      <c r="F171" s="783" t="s">
        <v>420</v>
      </c>
      <c r="G171" s="783"/>
      <c r="H171" s="783"/>
      <c r="I171" s="783"/>
      <c r="J171" s="784">
        <f>Z162</f>
        <v>393.25400000000002</v>
      </c>
      <c r="K171" s="785"/>
      <c r="L171" s="786"/>
      <c r="M171" s="666">
        <v>12</v>
      </c>
      <c r="N171" s="667"/>
      <c r="O171" s="668"/>
      <c r="P171" s="869">
        <f>M171/J171</f>
        <v>3.0514629221826097E-2</v>
      </c>
      <c r="Q171" s="870"/>
      <c r="R171" s="871"/>
      <c r="S171" s="872">
        <v>0.5</v>
      </c>
      <c r="T171" s="873"/>
      <c r="U171" s="874"/>
      <c r="V171" s="875">
        <f>J171*S171</f>
        <v>196.62700000000001</v>
      </c>
      <c r="W171" s="876"/>
      <c r="X171" s="876"/>
      <c r="Y171" s="877"/>
      <c r="Z171" s="25"/>
      <c r="AA171" s="25"/>
      <c r="AB171" s="25"/>
      <c r="AC171" s="25"/>
    </row>
    <row r="172" spans="1:31" s="192" customFormat="1" ht="32.25" customHeight="1" x14ac:dyDescent="0.2">
      <c r="A172" s="235"/>
      <c r="B172" s="235"/>
      <c r="C172" s="235"/>
      <c r="D172" s="235"/>
      <c r="F172" s="783" t="s">
        <v>228</v>
      </c>
      <c r="G172" s="783"/>
      <c r="H172" s="783"/>
      <c r="I172" s="783"/>
      <c r="J172" s="784">
        <f>K164</f>
        <v>1190</v>
      </c>
      <c r="K172" s="785"/>
      <c r="L172" s="786"/>
      <c r="M172" s="666">
        <v>500</v>
      </c>
      <c r="N172" s="667"/>
      <c r="O172" s="668"/>
      <c r="P172" s="869">
        <f>M172/J172</f>
        <v>0.42016806722689076</v>
      </c>
      <c r="Q172" s="870"/>
      <c r="R172" s="871"/>
      <c r="S172" s="872">
        <v>0.5</v>
      </c>
      <c r="T172" s="873"/>
      <c r="U172" s="874"/>
      <c r="V172" s="875">
        <f>J172*S172</f>
        <v>595</v>
      </c>
      <c r="W172" s="876"/>
      <c r="X172" s="876"/>
      <c r="Y172" s="877"/>
      <c r="Z172" s="25"/>
      <c r="AA172" s="25"/>
      <c r="AB172" s="25"/>
      <c r="AC172" s="25"/>
      <c r="AD172" s="25"/>
      <c r="AE172" s="25"/>
    </row>
    <row r="175" spans="1:31" s="292" customFormat="1" ht="15" customHeight="1" x14ac:dyDescent="0.25">
      <c r="B175" s="293" t="s">
        <v>776</v>
      </c>
    </row>
    <row r="176" spans="1:31" s="292" customFormat="1" x14ac:dyDescent="0.25"/>
    <row r="177" spans="3:30" s="192" customFormat="1" ht="15.75" customHeight="1" x14ac:dyDescent="0.2">
      <c r="D177" s="193"/>
      <c r="E177" s="193"/>
      <c r="F177" s="672" t="s">
        <v>127</v>
      </c>
      <c r="G177" s="672"/>
      <c r="H177" s="672"/>
      <c r="I177" s="672"/>
      <c r="J177" s="672"/>
      <c r="K177" s="672"/>
      <c r="L177" s="672"/>
      <c r="M177" s="672"/>
      <c r="N177" s="672"/>
      <c r="O177" s="672"/>
      <c r="P177" s="672"/>
      <c r="Q177" s="672"/>
      <c r="R177" s="672"/>
      <c r="S177" s="672"/>
      <c r="T177" s="672"/>
      <c r="U177" s="672"/>
      <c r="V177" s="672"/>
      <c r="W177" s="672"/>
      <c r="X177" s="20"/>
      <c r="Y177" s="20"/>
      <c r="Z177" s="20"/>
      <c r="AA177" s="20"/>
      <c r="AB177" s="20"/>
      <c r="AC177" s="20"/>
      <c r="AD177" s="20"/>
    </row>
    <row r="178" spans="3:30" s="192" customFormat="1" ht="5.0999999999999996" customHeight="1" x14ac:dyDescent="0.2">
      <c r="C178" s="4"/>
    </row>
    <row r="179" spans="3:30" s="192" customFormat="1" ht="30" customHeight="1" x14ac:dyDescent="0.2">
      <c r="D179" s="193"/>
      <c r="E179" s="193"/>
      <c r="F179" s="666"/>
      <c r="G179" s="667"/>
      <c r="H179" s="668"/>
      <c r="I179" s="596" t="s">
        <v>648</v>
      </c>
      <c r="J179" s="596"/>
      <c r="K179" s="596"/>
      <c r="L179" s="596"/>
      <c r="M179" s="596"/>
      <c r="N179" s="596"/>
      <c r="O179" s="596"/>
      <c r="P179" s="596"/>
      <c r="Q179" s="596"/>
      <c r="R179" s="596"/>
      <c r="S179" s="596"/>
      <c r="T179" s="596"/>
      <c r="U179" s="596"/>
      <c r="V179" s="596"/>
      <c r="W179" s="597"/>
      <c r="X179" s="630"/>
      <c r="Y179" s="630"/>
      <c r="Z179" s="630"/>
      <c r="AA179" s="630"/>
      <c r="AB179" s="630"/>
      <c r="AC179" s="630"/>
      <c r="AD179" s="630"/>
    </row>
    <row r="180" spans="3:30" s="192" customFormat="1" ht="30" customHeight="1" x14ac:dyDescent="0.2">
      <c r="D180" s="193"/>
      <c r="E180" s="193"/>
      <c r="F180" s="666"/>
      <c r="G180" s="667"/>
      <c r="H180" s="668"/>
      <c r="I180" s="596" t="s">
        <v>649</v>
      </c>
      <c r="J180" s="596"/>
      <c r="K180" s="596"/>
      <c r="L180" s="596"/>
      <c r="M180" s="596"/>
      <c r="N180" s="596"/>
      <c r="O180" s="596"/>
      <c r="P180" s="596"/>
      <c r="Q180" s="596"/>
      <c r="R180" s="596"/>
      <c r="S180" s="596"/>
      <c r="T180" s="596"/>
      <c r="U180" s="596"/>
      <c r="V180" s="596"/>
      <c r="W180" s="597"/>
      <c r="X180" s="630"/>
      <c r="Y180" s="630"/>
      <c r="Z180" s="630"/>
      <c r="AA180" s="630"/>
      <c r="AB180" s="630"/>
      <c r="AC180" s="630"/>
      <c r="AD180" s="630"/>
    </row>
    <row r="181" spans="3:30" s="192" customFormat="1" ht="30" customHeight="1" x14ac:dyDescent="0.2">
      <c r="D181" s="193"/>
      <c r="E181" s="193"/>
      <c r="F181" s="666"/>
      <c r="G181" s="667"/>
      <c r="H181" s="668"/>
      <c r="I181" s="596" t="s">
        <v>650</v>
      </c>
      <c r="J181" s="596"/>
      <c r="K181" s="596"/>
      <c r="L181" s="596"/>
      <c r="M181" s="596"/>
      <c r="N181" s="596"/>
      <c r="O181" s="596"/>
      <c r="P181" s="596"/>
      <c r="Q181" s="596"/>
      <c r="R181" s="596"/>
      <c r="S181" s="596"/>
      <c r="T181" s="596"/>
      <c r="U181" s="596"/>
      <c r="V181" s="596"/>
      <c r="W181" s="597"/>
      <c r="X181" s="630"/>
      <c r="Y181" s="630"/>
      <c r="Z181" s="630"/>
      <c r="AA181" s="630"/>
      <c r="AB181" s="630"/>
      <c r="AC181" s="630"/>
      <c r="AD181" s="630"/>
    </row>
    <row r="182" spans="3:30" s="192" customFormat="1" ht="30" customHeight="1" x14ac:dyDescent="0.2">
      <c r="D182" s="193"/>
      <c r="E182" s="193"/>
      <c r="F182" s="595"/>
      <c r="G182" s="595"/>
      <c r="H182" s="595"/>
      <c r="I182" s="596" t="s">
        <v>652</v>
      </c>
      <c r="J182" s="596"/>
      <c r="K182" s="596"/>
      <c r="L182" s="596"/>
      <c r="M182" s="596"/>
      <c r="N182" s="596"/>
      <c r="O182" s="596"/>
      <c r="P182" s="596"/>
      <c r="Q182" s="596"/>
      <c r="R182" s="596"/>
      <c r="S182" s="596"/>
      <c r="T182" s="596"/>
      <c r="U182" s="596"/>
      <c r="V182" s="596"/>
      <c r="W182" s="597"/>
      <c r="X182" s="630"/>
      <c r="Y182" s="630"/>
      <c r="Z182" s="630"/>
      <c r="AA182" s="630"/>
      <c r="AB182" s="630"/>
      <c r="AC182" s="630"/>
      <c r="AD182" s="630"/>
    </row>
    <row r="183" spans="3:30" s="192" customFormat="1" ht="30" customHeight="1" x14ac:dyDescent="0.2">
      <c r="D183" s="289"/>
      <c r="E183" s="289"/>
      <c r="F183" s="666"/>
      <c r="G183" s="667"/>
      <c r="H183" s="668"/>
      <c r="I183" s="596" t="s">
        <v>651</v>
      </c>
      <c r="J183" s="596"/>
      <c r="K183" s="596"/>
      <c r="L183" s="596"/>
      <c r="M183" s="596"/>
      <c r="N183" s="596"/>
      <c r="O183" s="596"/>
      <c r="P183" s="596"/>
      <c r="Q183" s="596"/>
      <c r="R183" s="596"/>
      <c r="S183" s="596"/>
      <c r="T183" s="596"/>
      <c r="U183" s="596"/>
      <c r="V183" s="596"/>
      <c r="W183" s="597"/>
      <c r="X183" s="45"/>
      <c r="Y183" s="45"/>
      <c r="Z183" s="45"/>
      <c r="AA183" s="45"/>
      <c r="AB183" s="45"/>
      <c r="AC183" s="45"/>
      <c r="AD183" s="45"/>
    </row>
  </sheetData>
  <sheetProtection sheet="1"/>
  <mergeCells count="596">
    <mergeCell ref="AA126:AC126"/>
    <mergeCell ref="Z101:AA101"/>
    <mergeCell ref="Z102:AA102"/>
    <mergeCell ref="T99:U99"/>
    <mergeCell ref="W102:X102"/>
    <mergeCell ref="AA78:AC78"/>
    <mergeCell ref="AA77:AC77"/>
    <mergeCell ref="O77:Q77"/>
    <mergeCell ref="R77:T77"/>
    <mergeCell ref="Z89:AA89"/>
    <mergeCell ref="T101:U101"/>
    <mergeCell ref="W101:X101"/>
    <mergeCell ref="W92:X92"/>
    <mergeCell ref="W109:AA111"/>
    <mergeCell ref="Z99:AA99"/>
    <mergeCell ref="N99:O99"/>
    <mergeCell ref="F183:H183"/>
    <mergeCell ref="I183:W183"/>
    <mergeCell ref="F172:I172"/>
    <mergeCell ref="J172:L172"/>
    <mergeCell ref="M172:O172"/>
    <mergeCell ref="C113:H113"/>
    <mergeCell ref="C114:H114"/>
    <mergeCell ref="K113:L113"/>
    <mergeCell ref="K114:L114"/>
    <mergeCell ref="S172:U172"/>
    <mergeCell ref="S170:U170"/>
    <mergeCell ref="V170:Y170"/>
    <mergeCell ref="V172:Y172"/>
    <mergeCell ref="F171:I171"/>
    <mergeCell ref="J171:L171"/>
    <mergeCell ref="M171:O171"/>
    <mergeCell ref="P171:R171"/>
    <mergeCell ref="S171:U171"/>
    <mergeCell ref="V171:Y171"/>
    <mergeCell ref="P172:R172"/>
    <mergeCell ref="S168:U168"/>
    <mergeCell ref="V168:Y168"/>
    <mergeCell ref="S169:U169"/>
    <mergeCell ref="V169:Y169"/>
    <mergeCell ref="F170:I170"/>
    <mergeCell ref="J170:L170"/>
    <mergeCell ref="M170:O170"/>
    <mergeCell ref="P170:R170"/>
    <mergeCell ref="O69:P69"/>
    <mergeCell ref="Q69:R69"/>
    <mergeCell ref="A169:D169"/>
    <mergeCell ref="F169:I169"/>
    <mergeCell ref="J169:L169"/>
    <mergeCell ref="M169:O169"/>
    <mergeCell ref="P169:R169"/>
    <mergeCell ref="A167:D167"/>
    <mergeCell ref="F167:L167"/>
    <mergeCell ref="M167:O167"/>
    <mergeCell ref="P167:R167"/>
    <mergeCell ref="A168:D168"/>
    <mergeCell ref="F168:I168"/>
    <mergeCell ref="J168:L168"/>
    <mergeCell ref="M168:O168"/>
    <mergeCell ref="P168:R168"/>
    <mergeCell ref="N157:P157"/>
    <mergeCell ref="F161:I161"/>
    <mergeCell ref="K161:M161"/>
    <mergeCell ref="N161:P161"/>
    <mergeCell ref="S69:V69"/>
    <mergeCell ref="W69:X69"/>
    <mergeCell ref="Z69:AA69"/>
    <mergeCell ref="B99:L99"/>
    <mergeCell ref="B87:L87"/>
    <mergeCell ref="N87:O87"/>
    <mergeCell ref="Q87:R87"/>
    <mergeCell ref="T87:U87"/>
    <mergeCell ref="O70:P70"/>
    <mergeCell ref="Q70:R70"/>
    <mergeCell ref="S70:V70"/>
    <mergeCell ref="W70:X70"/>
    <mergeCell ref="Z70:AA70"/>
    <mergeCell ref="B95:AE95"/>
    <mergeCell ref="W87:X87"/>
    <mergeCell ref="T90:U90"/>
    <mergeCell ref="W90:X90"/>
    <mergeCell ref="B91:E91"/>
    <mergeCell ref="Q72:R72"/>
    <mergeCell ref="B92:E92"/>
    <mergeCell ref="G92:L92"/>
    <mergeCell ref="B93:L93"/>
    <mergeCell ref="X76:Z76"/>
    <mergeCell ref="AA76:AC76"/>
    <mergeCell ref="AI48:AJ48"/>
    <mergeCell ref="AI49:AJ49"/>
    <mergeCell ref="AI50:AJ50"/>
    <mergeCell ref="O48:Y48"/>
    <mergeCell ref="AA48:AB49"/>
    <mergeCell ref="O49:S49"/>
    <mergeCell ref="Z34:AA34"/>
    <mergeCell ref="AC34:AD34"/>
    <mergeCell ref="O53:P53"/>
    <mergeCell ref="Q53:S53"/>
    <mergeCell ref="AA53:AB53"/>
    <mergeCell ref="AI53:AJ53"/>
    <mergeCell ref="T49:V49"/>
    <mergeCell ref="W49:Y49"/>
    <mergeCell ref="AI51:AJ51"/>
    <mergeCell ref="O52:P52"/>
    <mergeCell ref="Q52:S52"/>
    <mergeCell ref="AA52:AB52"/>
    <mergeCell ref="AI52:AJ52"/>
    <mergeCell ref="AA50:AB50"/>
    <mergeCell ref="AA51:AB51"/>
    <mergeCell ref="W51:Y51"/>
    <mergeCell ref="T52:V52"/>
    <mergeCell ref="W53:Y53"/>
    <mergeCell ref="B3:AE3"/>
    <mergeCell ref="B14:AE14"/>
    <mergeCell ref="B44:AE44"/>
    <mergeCell ref="B62:AE62"/>
    <mergeCell ref="B82:AE82"/>
    <mergeCell ref="B130:AE130"/>
    <mergeCell ref="O93:W93"/>
    <mergeCell ref="Z87:AA87"/>
    <mergeCell ref="Z90:AA90"/>
    <mergeCell ref="Z91:AA91"/>
    <mergeCell ref="C37:F37"/>
    <mergeCell ref="G37:H37"/>
    <mergeCell ref="J37:M37"/>
    <mergeCell ref="N37:Q37"/>
    <mergeCell ref="R37:U37"/>
    <mergeCell ref="V37:Y37"/>
    <mergeCell ref="C38:F38"/>
    <mergeCell ref="G38:H38"/>
    <mergeCell ref="J38:M38"/>
    <mergeCell ref="N38:Q38"/>
    <mergeCell ref="R38:U38"/>
    <mergeCell ref="V38:Y38"/>
    <mergeCell ref="C39:F39"/>
    <mergeCell ref="G39:H39"/>
    <mergeCell ref="Z162:AB162"/>
    <mergeCell ref="F164:I164"/>
    <mergeCell ref="K164:M164"/>
    <mergeCell ref="F162:I162"/>
    <mergeCell ref="K162:M162"/>
    <mergeCell ref="N162:P162"/>
    <mergeCell ref="Q162:S162"/>
    <mergeCell ref="T162:V162"/>
    <mergeCell ref="W162:Y162"/>
    <mergeCell ref="Q161:S161"/>
    <mergeCell ref="T161:V161"/>
    <mergeCell ref="W161:Y161"/>
    <mergeCell ref="Z161:AB161"/>
    <mergeCell ref="F160:I160"/>
    <mergeCell ref="K160:M160"/>
    <mergeCell ref="F141:I141"/>
    <mergeCell ref="T141:V141"/>
    <mergeCell ref="W141:Y141"/>
    <mergeCell ref="Z141:AB141"/>
    <mergeCell ref="N158:P158"/>
    <mergeCell ref="Q158:S158"/>
    <mergeCell ref="T158:V158"/>
    <mergeCell ref="W158:Y158"/>
    <mergeCell ref="N160:P160"/>
    <mergeCell ref="Q160:S160"/>
    <mergeCell ref="T160:V160"/>
    <mergeCell ref="Z156:AB156"/>
    <mergeCell ref="F157:I157"/>
    <mergeCell ref="K157:M157"/>
    <mergeCell ref="Q157:S157"/>
    <mergeCell ref="T157:V157"/>
    <mergeCell ref="W157:Y157"/>
    <mergeCell ref="Z157:AB157"/>
    <mergeCell ref="Z140:AB140"/>
    <mergeCell ref="T126:U126"/>
    <mergeCell ref="T102:U102"/>
    <mergeCell ref="Z144:AB144"/>
    <mergeCell ref="W160:Y160"/>
    <mergeCell ref="Z158:AB158"/>
    <mergeCell ref="F159:I159"/>
    <mergeCell ref="K159:M159"/>
    <mergeCell ref="N159:P159"/>
    <mergeCell ref="Q159:S159"/>
    <mergeCell ref="T159:V159"/>
    <mergeCell ref="Z160:AB160"/>
    <mergeCell ref="W139:Y139"/>
    <mergeCell ref="K109:L109"/>
    <mergeCell ref="K110:L110"/>
    <mergeCell ref="K111:L111"/>
    <mergeCell ref="N109:O109"/>
    <mergeCell ref="N110:O110"/>
    <mergeCell ref="N112:O112"/>
    <mergeCell ref="K112:L112"/>
    <mergeCell ref="T139:V139"/>
    <mergeCell ref="K138:AB138"/>
    <mergeCell ref="K139:M139"/>
    <mergeCell ref="N114:O114"/>
    <mergeCell ref="AI54:AJ54"/>
    <mergeCell ref="AI55:AJ55"/>
    <mergeCell ref="AI68:AJ68"/>
    <mergeCell ref="AI69:AJ69"/>
    <mergeCell ref="AI70:AJ70"/>
    <mergeCell ref="N156:P156"/>
    <mergeCell ref="Q156:S156"/>
    <mergeCell ref="T156:V156"/>
    <mergeCell ref="W156:Y156"/>
    <mergeCell ref="AI66:AJ66"/>
    <mergeCell ref="AI67:AJ67"/>
    <mergeCell ref="O54:P54"/>
    <mergeCell ref="Q54:S54"/>
    <mergeCell ref="O56:Z56"/>
    <mergeCell ref="O57:P57"/>
    <mergeCell ref="Q57:R57"/>
    <mergeCell ref="S57:T57"/>
    <mergeCell ref="U57:V57"/>
    <mergeCell ref="W57:X57"/>
    <mergeCell ref="N92:O92"/>
    <mergeCell ref="Z92:AA92"/>
    <mergeCell ref="N101:O101"/>
    <mergeCell ref="Q101:R101"/>
    <mergeCell ref="W99:X99"/>
    <mergeCell ref="AI71:AJ71"/>
    <mergeCell ref="Z139:AB139"/>
    <mergeCell ref="O71:P71"/>
    <mergeCell ref="Q71:R71"/>
    <mergeCell ref="S71:V71"/>
    <mergeCell ref="W71:X71"/>
    <mergeCell ref="N111:O111"/>
    <mergeCell ref="N113:O113"/>
    <mergeCell ref="Z71:AA71"/>
    <mergeCell ref="O72:P72"/>
    <mergeCell ref="W91:X91"/>
    <mergeCell ref="N90:O90"/>
    <mergeCell ref="Q90:R90"/>
    <mergeCell ref="S72:V72"/>
    <mergeCell ref="W72:X72"/>
    <mergeCell ref="O75:AC75"/>
    <mergeCell ref="O76:Q76"/>
    <mergeCell ref="R76:T76"/>
    <mergeCell ref="U76:W76"/>
    <mergeCell ref="B104:AE104"/>
    <mergeCell ref="F136:AB136"/>
    <mergeCell ref="J106:L107"/>
    <mergeCell ref="N106:O107"/>
    <mergeCell ref="U77:W77"/>
    <mergeCell ref="V126:W126"/>
    <mergeCell ref="X126:Z126"/>
    <mergeCell ref="AA127:AC127"/>
    <mergeCell ref="AI72:AJ72"/>
    <mergeCell ref="AI73:AJ73"/>
    <mergeCell ref="B74:C74"/>
    <mergeCell ref="D74:E74"/>
    <mergeCell ref="G74:I75"/>
    <mergeCell ref="J74:L75"/>
    <mergeCell ref="O73:P73"/>
    <mergeCell ref="Q73:R73"/>
    <mergeCell ref="S73:V73"/>
    <mergeCell ref="W73:X73"/>
    <mergeCell ref="B72:C72"/>
    <mergeCell ref="D72:E72"/>
    <mergeCell ref="D76:E76"/>
    <mergeCell ref="AD126:AF126"/>
    <mergeCell ref="AD127:AF127"/>
    <mergeCell ref="T125:AF125"/>
    <mergeCell ref="X77:Z77"/>
    <mergeCell ref="O78:Q78"/>
    <mergeCell ref="R78:T78"/>
    <mergeCell ref="U78:W78"/>
    <mergeCell ref="X78:Z78"/>
    <mergeCell ref="A1:P1"/>
    <mergeCell ref="T127:U127"/>
    <mergeCell ref="B69:C69"/>
    <mergeCell ref="F166:Y166"/>
    <mergeCell ref="D69:E69"/>
    <mergeCell ref="G69:I69"/>
    <mergeCell ref="B127:E127"/>
    <mergeCell ref="F127:H127"/>
    <mergeCell ref="I127:K127"/>
    <mergeCell ref="K141:M141"/>
    <mergeCell ref="N141:P141"/>
    <mergeCell ref="G72:L73"/>
    <mergeCell ref="F140:I140"/>
    <mergeCell ref="W140:Y140"/>
    <mergeCell ref="N102:O102"/>
    <mergeCell ref="Q102:R102"/>
    <mergeCell ref="L127:N127"/>
    <mergeCell ref="P127:R127"/>
    <mergeCell ref="Q141:S141"/>
    <mergeCell ref="Q99:R99"/>
    <mergeCell ref="J70:L70"/>
    <mergeCell ref="G89:L89"/>
    <mergeCell ref="B71:C71"/>
    <mergeCell ref="D71:E71"/>
    <mergeCell ref="G66:L67"/>
    <mergeCell ref="S167:U167"/>
    <mergeCell ref="O50:P50"/>
    <mergeCell ref="Q50:S50"/>
    <mergeCell ref="T50:V50"/>
    <mergeCell ref="W50:Y50"/>
    <mergeCell ref="V167:Y167"/>
    <mergeCell ref="G71:I71"/>
    <mergeCell ref="J71:L71"/>
    <mergeCell ref="G76:L76"/>
    <mergeCell ref="Q106:R106"/>
    <mergeCell ref="T106:U106"/>
    <mergeCell ref="B106:H107"/>
    <mergeCell ref="N91:O91"/>
    <mergeCell ref="Q91:R91"/>
    <mergeCell ref="T91:U91"/>
    <mergeCell ref="T92:U92"/>
    <mergeCell ref="Q140:S140"/>
    <mergeCell ref="T140:V140"/>
    <mergeCell ref="F138:I139"/>
    <mergeCell ref="N139:P139"/>
    <mergeCell ref="V127:W127"/>
    <mergeCell ref="X127:Z127"/>
    <mergeCell ref="T51:V51"/>
    <mergeCell ref="Q58:R58"/>
    <mergeCell ref="S58:T58"/>
    <mergeCell ref="U58:V58"/>
    <mergeCell ref="W58:X58"/>
    <mergeCell ref="Y58:Z58"/>
    <mergeCell ref="O59:P59"/>
    <mergeCell ref="Q59:R59"/>
    <mergeCell ref="S59:T59"/>
    <mergeCell ref="U59:V59"/>
    <mergeCell ref="W59:X59"/>
    <mergeCell ref="Y59:Z59"/>
    <mergeCell ref="Q139:S139"/>
    <mergeCell ref="B109:H109"/>
    <mergeCell ref="B70:C70"/>
    <mergeCell ref="D70:E70"/>
    <mergeCell ref="G70:I70"/>
    <mergeCell ref="B101:E101"/>
    <mergeCell ref="G101:L101"/>
    <mergeCell ref="B102:E102"/>
    <mergeCell ref="G102:L102"/>
    <mergeCell ref="B125:N125"/>
    <mergeCell ref="P125:R126"/>
    <mergeCell ref="B126:H126"/>
    <mergeCell ref="I126:K126"/>
    <mergeCell ref="L126:N126"/>
    <mergeCell ref="G91:L91"/>
    <mergeCell ref="C112:H112"/>
    <mergeCell ref="B110:H110"/>
    <mergeCell ref="C111:H111"/>
    <mergeCell ref="D134:E134"/>
    <mergeCell ref="B90:E90"/>
    <mergeCell ref="G90:L90"/>
    <mergeCell ref="Q92:R92"/>
    <mergeCell ref="W54:Y54"/>
    <mergeCell ref="B54:C54"/>
    <mergeCell ref="D54:E54"/>
    <mergeCell ref="J20:M20"/>
    <mergeCell ref="O20:T20"/>
    <mergeCell ref="C42:F42"/>
    <mergeCell ref="G42:H42"/>
    <mergeCell ref="J42:M42"/>
    <mergeCell ref="N42:Q42"/>
    <mergeCell ref="R42:U42"/>
    <mergeCell ref="V42:Y42"/>
    <mergeCell ref="G40:H40"/>
    <mergeCell ref="J40:M40"/>
    <mergeCell ref="N40:Q40"/>
    <mergeCell ref="R40:U40"/>
    <mergeCell ref="V40:Y40"/>
    <mergeCell ref="N41:Q41"/>
    <mergeCell ref="R41:U41"/>
    <mergeCell ref="V41:Y41"/>
    <mergeCell ref="M32:N32"/>
    <mergeCell ref="T34:U34"/>
    <mergeCell ref="W34:X34"/>
    <mergeCell ref="W52:Y52"/>
    <mergeCell ref="T53:V53"/>
    <mergeCell ref="J33:K33"/>
    <mergeCell ref="M33:N33"/>
    <mergeCell ref="B11:E11"/>
    <mergeCell ref="G9:L9"/>
    <mergeCell ref="G10:L10"/>
    <mergeCell ref="G11:L11"/>
    <mergeCell ref="B32:C32"/>
    <mergeCell ref="D32:E32"/>
    <mergeCell ref="G32:H32"/>
    <mergeCell ref="J32:K32"/>
    <mergeCell ref="B10:E10"/>
    <mergeCell ref="J53:L53"/>
    <mergeCell ref="Q9:R9"/>
    <mergeCell ref="Q10:R10"/>
    <mergeCell ref="F143:I143"/>
    <mergeCell ref="K143:M143"/>
    <mergeCell ref="K140:M140"/>
    <mergeCell ref="N140:P140"/>
    <mergeCell ref="F142:I142"/>
    <mergeCell ref="K142:M142"/>
    <mergeCell ref="B89:E89"/>
    <mergeCell ref="B53:C53"/>
    <mergeCell ref="D53:E53"/>
    <mergeCell ref="G53:I53"/>
    <mergeCell ref="B55:C55"/>
    <mergeCell ref="D55:E55"/>
    <mergeCell ref="D75:E75"/>
    <mergeCell ref="B73:C73"/>
    <mergeCell ref="B57:C57"/>
    <mergeCell ref="D57:E57"/>
    <mergeCell ref="N142:P142"/>
    <mergeCell ref="Q142:S142"/>
    <mergeCell ref="N11:O11"/>
    <mergeCell ref="G33:H33"/>
    <mergeCell ref="D29:E29"/>
    <mergeCell ref="B76:C76"/>
    <mergeCell ref="B7:L7"/>
    <mergeCell ref="T11:U11"/>
    <mergeCell ref="Z143:AB143"/>
    <mergeCell ref="B48:E48"/>
    <mergeCell ref="J21:M21"/>
    <mergeCell ref="O21:T21"/>
    <mergeCell ref="J22:M22"/>
    <mergeCell ref="T9:U9"/>
    <mergeCell ref="T10:U10"/>
    <mergeCell ref="W9:X9"/>
    <mergeCell ref="Z7:AA7"/>
    <mergeCell ref="Z9:AA9"/>
    <mergeCell ref="Z10:AA10"/>
    <mergeCell ref="N7:O7"/>
    <mergeCell ref="T7:U7"/>
    <mergeCell ref="N9:O9"/>
    <mergeCell ref="N10:O10"/>
    <mergeCell ref="W7:X7"/>
    <mergeCell ref="Q7:R7"/>
    <mergeCell ref="Z11:AA11"/>
    <mergeCell ref="Q11:R11"/>
    <mergeCell ref="B9:E9"/>
    <mergeCell ref="G41:H41"/>
    <mergeCell ref="J41:M41"/>
    <mergeCell ref="Z28:AA29"/>
    <mergeCell ref="R31:S31"/>
    <mergeCell ref="T31:U31"/>
    <mergeCell ref="B56:C56"/>
    <mergeCell ref="D56:E56"/>
    <mergeCell ref="T143:V143"/>
    <mergeCell ref="F144:I144"/>
    <mergeCell ref="K144:M144"/>
    <mergeCell ref="W142:Y142"/>
    <mergeCell ref="Z142:AB142"/>
    <mergeCell ref="N144:P144"/>
    <mergeCell ref="Q144:S144"/>
    <mergeCell ref="T144:V144"/>
    <mergeCell ref="T142:V142"/>
    <mergeCell ref="W143:Y143"/>
    <mergeCell ref="N143:P143"/>
    <mergeCell ref="Q143:S143"/>
    <mergeCell ref="N89:O89"/>
    <mergeCell ref="Q89:R89"/>
    <mergeCell ref="T89:U89"/>
    <mergeCell ref="B52:C52"/>
    <mergeCell ref="D52:E52"/>
    <mergeCell ref="K145:M145"/>
    <mergeCell ref="N145:P145"/>
    <mergeCell ref="V18:W18"/>
    <mergeCell ref="C36:H36"/>
    <mergeCell ref="J36:Y36"/>
    <mergeCell ref="G52:I52"/>
    <mergeCell ref="J52:L52"/>
    <mergeCell ref="G48:L49"/>
    <mergeCell ref="B49:E49"/>
    <mergeCell ref="B51:C51"/>
    <mergeCell ref="D51:E51"/>
    <mergeCell ref="G51:I51"/>
    <mergeCell ref="J51:L51"/>
    <mergeCell ref="O51:P51"/>
    <mergeCell ref="Q51:S51"/>
    <mergeCell ref="J39:M39"/>
    <mergeCell ref="N39:Q39"/>
    <mergeCell ref="R39:U39"/>
    <mergeCell ref="V39:Y39"/>
    <mergeCell ref="C40:F40"/>
    <mergeCell ref="R32:S32"/>
    <mergeCell ref="T32:U32"/>
    <mergeCell ref="D33:E33"/>
    <mergeCell ref="C41:F41"/>
    <mergeCell ref="W159:Y159"/>
    <mergeCell ref="Z159:AB159"/>
    <mergeCell ref="F156:I156"/>
    <mergeCell ref="K156:M156"/>
    <mergeCell ref="W10:X10"/>
    <mergeCell ref="W11:X11"/>
    <mergeCell ref="B12:S12"/>
    <mergeCell ref="B28:E28"/>
    <mergeCell ref="R28:U28"/>
    <mergeCell ref="W154:Y154"/>
    <mergeCell ref="W144:Y144"/>
    <mergeCell ref="F148:I148"/>
    <mergeCell ref="K148:AB148"/>
    <mergeCell ref="F149:J149"/>
    <mergeCell ref="Z145:AB145"/>
    <mergeCell ref="T146:V146"/>
    <mergeCell ref="W146:Y146"/>
    <mergeCell ref="T145:V145"/>
    <mergeCell ref="W145:Y145"/>
    <mergeCell ref="F146:I146"/>
    <mergeCell ref="K146:M146"/>
    <mergeCell ref="N146:P146"/>
    <mergeCell ref="Q146:S146"/>
    <mergeCell ref="F145:I145"/>
    <mergeCell ref="S68:V68"/>
    <mergeCell ref="W68:X68"/>
    <mergeCell ref="Q145:S145"/>
    <mergeCell ref="J18:T18"/>
    <mergeCell ref="Z146:AB146"/>
    <mergeCell ref="F151:AB151"/>
    <mergeCell ref="F153:I154"/>
    <mergeCell ref="F181:H181"/>
    <mergeCell ref="I181:W181"/>
    <mergeCell ref="X181:AD181"/>
    <mergeCell ref="F155:I155"/>
    <mergeCell ref="K155:M155"/>
    <mergeCell ref="N155:P155"/>
    <mergeCell ref="F180:H180"/>
    <mergeCell ref="X180:AD180"/>
    <mergeCell ref="F179:H179"/>
    <mergeCell ref="K153:AB153"/>
    <mergeCell ref="K154:M154"/>
    <mergeCell ref="N154:P154"/>
    <mergeCell ref="Q154:S154"/>
    <mergeCell ref="T154:V154"/>
    <mergeCell ref="I179:W179"/>
    <mergeCell ref="X179:AD179"/>
    <mergeCell ref="F177:W177"/>
    <mergeCell ref="B34:C34"/>
    <mergeCell ref="X182:AD182"/>
    <mergeCell ref="F158:I158"/>
    <mergeCell ref="K158:M158"/>
    <mergeCell ref="O22:T22"/>
    <mergeCell ref="V20:W20"/>
    <mergeCell ref="V21:W21"/>
    <mergeCell ref="G28:H29"/>
    <mergeCell ref="J28:K29"/>
    <mergeCell ref="M28:N29"/>
    <mergeCell ref="V22:W22"/>
    <mergeCell ref="Q155:S155"/>
    <mergeCell ref="T155:V155"/>
    <mergeCell ref="G58:L58"/>
    <mergeCell ref="W155:Y155"/>
    <mergeCell ref="W28:X29"/>
    <mergeCell ref="Y57:Z57"/>
    <mergeCell ref="O66:X66"/>
    <mergeCell ref="Z66:AA67"/>
    <mergeCell ref="O67:R67"/>
    <mergeCell ref="S67:V67"/>
    <mergeCell ref="W67:X67"/>
    <mergeCell ref="O68:P68"/>
    <mergeCell ref="Q68:R68"/>
    <mergeCell ref="B29:C29"/>
    <mergeCell ref="R29:S29"/>
    <mergeCell ref="Z68:AA68"/>
    <mergeCell ref="O58:P58"/>
    <mergeCell ref="D31:E31"/>
    <mergeCell ref="G31:H31"/>
    <mergeCell ref="J31:K31"/>
    <mergeCell ref="M31:N31"/>
    <mergeCell ref="F182:H182"/>
    <mergeCell ref="I182:W182"/>
    <mergeCell ref="I180:W180"/>
    <mergeCell ref="T54:V54"/>
    <mergeCell ref="G56:I57"/>
    <mergeCell ref="J56:L57"/>
    <mergeCell ref="G54:I54"/>
    <mergeCell ref="J54:L54"/>
    <mergeCell ref="B66:E66"/>
    <mergeCell ref="B67:E67"/>
    <mergeCell ref="B58:C58"/>
    <mergeCell ref="D58:E58"/>
    <mergeCell ref="J69:L69"/>
    <mergeCell ref="W89:X89"/>
    <mergeCell ref="B75:C75"/>
    <mergeCell ref="D73:E73"/>
    <mergeCell ref="T29:U29"/>
    <mergeCell ref="B31:C31"/>
    <mergeCell ref="Z155:AB155"/>
    <mergeCell ref="Z154:AB154"/>
    <mergeCell ref="D34:E34"/>
    <mergeCell ref="G34:H34"/>
    <mergeCell ref="J34:K34"/>
    <mergeCell ref="B26:N26"/>
    <mergeCell ref="R26:AD26"/>
    <mergeCell ref="T33:U33"/>
    <mergeCell ref="W33:X33"/>
    <mergeCell ref="Z33:AA33"/>
    <mergeCell ref="AC33:AD33"/>
    <mergeCell ref="R33:S33"/>
    <mergeCell ref="W31:X31"/>
    <mergeCell ref="Z31:AA31"/>
    <mergeCell ref="AC31:AD31"/>
    <mergeCell ref="M34:N34"/>
    <mergeCell ref="R34:S34"/>
    <mergeCell ref="W32:X32"/>
    <mergeCell ref="Z32:AA32"/>
    <mergeCell ref="AC32:AD32"/>
    <mergeCell ref="B33:C33"/>
    <mergeCell ref="AC28:AD29"/>
  </mergeCells>
  <pageMargins left="0.511811024" right="0.511811024" top="0.78740157499999996" bottom="0.78740157499999996" header="0.31496062000000002" footer="0.31496062000000002"/>
  <pageSetup paperSize="9" orientation="portrait" r:id="rId1"/>
  <ignoredErrors>
    <ignoredError sqref="P12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13"/>
  <dimension ref="A1:AB57"/>
  <sheetViews>
    <sheetView topLeftCell="A7" zoomScale="110" zoomScaleNormal="110" workbookViewId="0"/>
  </sheetViews>
  <sheetFormatPr defaultColWidth="5.125" defaultRowHeight="14.25" x14ac:dyDescent="0.2"/>
  <cols>
    <col min="1" max="1" width="2.625" style="243" customWidth="1"/>
    <col min="2" max="2" width="4.625" style="243" customWidth="1"/>
    <col min="3" max="3" width="50" style="243" customWidth="1"/>
    <col min="4" max="4" width="5.125" style="243" customWidth="1"/>
    <col min="5" max="8" width="10.625" style="16" customWidth="1"/>
    <col min="9" max="12" width="20.625" style="243" customWidth="1"/>
    <col min="13" max="21" width="6.625" style="243" customWidth="1"/>
    <col min="22" max="41" width="5.125" style="243" customWidth="1"/>
    <col min="42" max="16384" width="5.125" style="243"/>
  </cols>
  <sheetData>
    <row r="1" spans="1:28" s="359" customFormat="1" ht="63.75" customHeight="1" x14ac:dyDescent="0.2">
      <c r="A1" s="356"/>
      <c r="B1" s="356"/>
      <c r="C1" s="357"/>
      <c r="D1" s="356"/>
      <c r="E1" s="885"/>
      <c r="F1" s="885"/>
      <c r="G1" s="885"/>
      <c r="H1" s="885"/>
      <c r="I1" s="885"/>
      <c r="J1" s="885"/>
      <c r="K1" s="885"/>
      <c r="L1" s="885"/>
      <c r="M1" s="356"/>
      <c r="N1" s="885"/>
      <c r="O1" s="885"/>
      <c r="P1" s="885"/>
      <c r="Q1" s="885"/>
      <c r="R1" s="885"/>
      <c r="S1" s="885"/>
      <c r="T1" s="356"/>
      <c r="U1" s="885"/>
      <c r="V1" s="885"/>
      <c r="W1" s="885"/>
      <c r="X1" s="885"/>
      <c r="Y1" s="885"/>
      <c r="Z1" s="885"/>
      <c r="AA1" s="356"/>
      <c r="AB1" s="358"/>
    </row>
    <row r="3" spans="1:28" ht="15" x14ac:dyDescent="0.25">
      <c r="B3" s="245" t="s">
        <v>397</v>
      </c>
    </row>
    <row r="4" spans="1:28" ht="15" x14ac:dyDescent="0.25">
      <c r="B4" s="245"/>
    </row>
    <row r="5" spans="1:28" s="3" customFormat="1" ht="15" customHeight="1" x14ac:dyDescent="0.2">
      <c r="C5" s="4"/>
      <c r="E5" s="16"/>
      <c r="F5" s="16"/>
      <c r="G5" s="16"/>
      <c r="H5" s="16"/>
      <c r="S5" s="426"/>
      <c r="T5" s="426"/>
      <c r="U5" s="426"/>
      <c r="V5" s="426"/>
      <c r="W5" s="426"/>
      <c r="X5" s="426"/>
      <c r="Y5" s="426"/>
      <c r="Z5" s="426"/>
      <c r="AA5" s="426"/>
    </row>
    <row r="6" spans="1:28" s="340" customFormat="1" ht="30" customHeight="1" x14ac:dyDescent="0.2">
      <c r="B6" s="884" t="s">
        <v>835</v>
      </c>
      <c r="C6" s="884"/>
      <c r="E6" s="889" t="s">
        <v>839</v>
      </c>
      <c r="F6" s="889"/>
      <c r="G6" s="889" t="s">
        <v>840</v>
      </c>
      <c r="H6" s="889"/>
      <c r="I6" s="889" t="s">
        <v>838</v>
      </c>
      <c r="J6" s="889" t="s">
        <v>837</v>
      </c>
      <c r="Q6" s="31"/>
      <c r="R6" s="31"/>
      <c r="S6" s="31"/>
      <c r="T6" s="31"/>
      <c r="U6" s="31"/>
      <c r="V6" s="31"/>
      <c r="W6" s="31"/>
      <c r="X6" s="31"/>
      <c r="Y6" s="31"/>
    </row>
    <row r="7" spans="1:28" s="340" customFormat="1" ht="30" customHeight="1" x14ac:dyDescent="0.2">
      <c r="B7" s="884"/>
      <c r="C7" s="884"/>
      <c r="E7" s="345" t="s">
        <v>841</v>
      </c>
      <c r="F7" s="345" t="s">
        <v>665</v>
      </c>
      <c r="G7" s="345" t="s">
        <v>841</v>
      </c>
      <c r="H7" s="345" t="s">
        <v>665</v>
      </c>
      <c r="I7" s="889"/>
      <c r="J7" s="889"/>
      <c r="Q7" s="31"/>
      <c r="R7" s="31"/>
      <c r="S7" s="31"/>
      <c r="T7" s="31"/>
      <c r="U7" s="31"/>
      <c r="V7" s="31"/>
      <c r="W7" s="31"/>
      <c r="X7" s="31"/>
      <c r="Y7" s="31"/>
    </row>
    <row r="8" spans="1:28" s="340" customFormat="1" ht="15" customHeight="1" x14ac:dyDescent="0.2">
      <c r="B8" s="334"/>
      <c r="C8" s="333"/>
      <c r="E8" s="341"/>
      <c r="F8" s="341"/>
      <c r="Q8" s="31"/>
      <c r="R8" s="31"/>
      <c r="S8" s="31"/>
      <c r="T8" s="31"/>
      <c r="U8" s="31"/>
      <c r="V8" s="31"/>
      <c r="W8" s="31"/>
      <c r="X8" s="31"/>
      <c r="Y8" s="31"/>
    </row>
    <row r="9" spans="1:28" s="333" customFormat="1" ht="50.1" customHeight="1" x14ac:dyDescent="0.2">
      <c r="B9" s="742" t="s">
        <v>854</v>
      </c>
      <c r="C9" s="742"/>
      <c r="E9" s="881" t="s">
        <v>842</v>
      </c>
      <c r="F9" s="882"/>
      <c r="G9" s="882"/>
      <c r="H9" s="882"/>
      <c r="I9" s="882"/>
      <c r="J9" s="883"/>
    </row>
    <row r="10" spans="1:28" s="333" customFormat="1" ht="50.1" customHeight="1" x14ac:dyDescent="0.2">
      <c r="B10" s="742" t="s">
        <v>859</v>
      </c>
      <c r="C10" s="742"/>
    </row>
    <row r="11" spans="1:28" s="333" customFormat="1" ht="50.1" customHeight="1" x14ac:dyDescent="0.2">
      <c r="B11" s="338">
        <v>1</v>
      </c>
      <c r="C11" s="344" t="s">
        <v>855</v>
      </c>
      <c r="E11" s="342">
        <v>1</v>
      </c>
      <c r="F11" s="342">
        <v>3</v>
      </c>
      <c r="G11" s="342">
        <v>1</v>
      </c>
      <c r="H11" s="342">
        <v>1</v>
      </c>
      <c r="I11" s="342">
        <v>4</v>
      </c>
      <c r="J11" s="342">
        <v>12</v>
      </c>
    </row>
    <row r="12" spans="1:28" s="333" customFormat="1" ht="50.1" customHeight="1" x14ac:dyDescent="0.2">
      <c r="B12" s="338">
        <v>2</v>
      </c>
      <c r="C12" s="344" t="s">
        <v>856</v>
      </c>
      <c r="E12" s="342">
        <v>1</v>
      </c>
      <c r="F12" s="342">
        <v>3</v>
      </c>
      <c r="G12" s="342">
        <v>1</v>
      </c>
      <c r="H12" s="342">
        <v>1</v>
      </c>
      <c r="I12" s="342">
        <v>4</v>
      </c>
      <c r="J12" s="342">
        <v>12</v>
      </c>
    </row>
    <row r="13" spans="1:28" s="333" customFormat="1" ht="50.1" customHeight="1" x14ac:dyDescent="0.2">
      <c r="B13" s="338">
        <v>3</v>
      </c>
      <c r="C13" s="344" t="s">
        <v>857</v>
      </c>
      <c r="E13" s="342">
        <v>1</v>
      </c>
      <c r="F13" s="342">
        <v>1</v>
      </c>
      <c r="G13" s="342">
        <v>1</v>
      </c>
      <c r="H13" s="342">
        <v>1</v>
      </c>
      <c r="I13" s="342">
        <v>4</v>
      </c>
      <c r="J13" s="342">
        <v>12</v>
      </c>
    </row>
    <row r="14" spans="1:28" s="333" customFormat="1" ht="51" x14ac:dyDescent="0.2">
      <c r="B14" s="338">
        <v>4</v>
      </c>
      <c r="C14" s="344" t="s">
        <v>858</v>
      </c>
      <c r="E14" s="342">
        <v>1</v>
      </c>
      <c r="F14" s="342">
        <v>1</v>
      </c>
      <c r="G14" s="342">
        <v>1</v>
      </c>
      <c r="H14" s="342">
        <v>1</v>
      </c>
      <c r="I14" s="342">
        <v>4</v>
      </c>
      <c r="J14" s="342">
        <v>12</v>
      </c>
    </row>
    <row r="15" spans="1:28" s="3" customFormat="1" ht="15" customHeight="1" x14ac:dyDescent="0.2">
      <c r="C15" s="4"/>
      <c r="E15" s="16"/>
      <c r="F15" s="16"/>
      <c r="G15" s="16"/>
      <c r="H15" s="16"/>
      <c r="S15" s="31"/>
      <c r="T15" s="31"/>
      <c r="U15" s="31"/>
      <c r="V15" s="31"/>
      <c r="W15" s="31"/>
      <c r="X15" s="31"/>
      <c r="Y15" s="31"/>
      <c r="Z15" s="31"/>
      <c r="AA15" s="31"/>
    </row>
    <row r="16" spans="1:28" s="3" customFormat="1" ht="15" customHeight="1" x14ac:dyDescent="0.2">
      <c r="C16" s="4"/>
      <c r="E16" s="16"/>
      <c r="F16" s="16"/>
      <c r="G16" s="16"/>
      <c r="H16" s="16"/>
      <c r="S16" s="31"/>
      <c r="T16" s="31"/>
      <c r="U16" s="31"/>
      <c r="V16" s="31"/>
      <c r="W16" s="31"/>
      <c r="X16" s="31"/>
      <c r="Y16" s="31"/>
      <c r="Z16" s="31"/>
      <c r="AA16" s="31"/>
    </row>
    <row r="17" spans="3:27" s="3" customFormat="1" ht="15" customHeight="1" x14ac:dyDescent="0.2">
      <c r="C17" s="4"/>
      <c r="E17" s="16"/>
      <c r="F17" s="16"/>
      <c r="G17" s="16"/>
      <c r="H17" s="16"/>
      <c r="S17" s="31"/>
      <c r="T17" s="31"/>
      <c r="U17" s="31"/>
      <c r="V17" s="31"/>
      <c r="W17" s="31"/>
      <c r="X17" s="31"/>
      <c r="Y17" s="31"/>
      <c r="Z17" s="31"/>
      <c r="AA17" s="31"/>
    </row>
    <row r="18" spans="3:27" s="3" customFormat="1" ht="15" customHeight="1" x14ac:dyDescent="0.2">
      <c r="C18" s="4"/>
      <c r="E18" s="16"/>
      <c r="F18" s="16"/>
      <c r="G18" s="16"/>
      <c r="H18" s="16"/>
      <c r="S18" s="31"/>
      <c r="T18" s="31"/>
      <c r="U18" s="31"/>
      <c r="V18" s="31"/>
      <c r="W18" s="31"/>
      <c r="X18" s="31"/>
      <c r="Y18" s="31"/>
      <c r="Z18" s="31"/>
      <c r="AA18" s="31"/>
    </row>
    <row r="19" spans="3:27" s="3" customFormat="1" ht="15" customHeight="1" x14ac:dyDescent="0.2">
      <c r="C19" s="4"/>
      <c r="E19" s="16"/>
      <c r="F19" s="16"/>
      <c r="G19" s="16"/>
      <c r="H19" s="16"/>
      <c r="S19" s="31"/>
      <c r="T19" s="31"/>
      <c r="U19" s="31"/>
      <c r="V19" s="31"/>
      <c r="W19" s="31"/>
      <c r="X19" s="31"/>
      <c r="Y19" s="31"/>
      <c r="Z19" s="31"/>
      <c r="AA19" s="31"/>
    </row>
    <row r="20" spans="3:27" s="3" customFormat="1" ht="15" customHeight="1" x14ac:dyDescent="0.2">
      <c r="C20" s="4"/>
      <c r="E20" s="16"/>
      <c r="F20" s="16"/>
      <c r="G20" s="16"/>
      <c r="H20" s="16"/>
      <c r="S20" s="31"/>
      <c r="T20" s="31"/>
      <c r="U20" s="31"/>
      <c r="V20" s="31"/>
      <c r="W20" s="31"/>
      <c r="X20" s="31"/>
      <c r="Y20" s="31"/>
      <c r="Z20" s="31"/>
      <c r="AA20" s="31"/>
    </row>
    <row r="21" spans="3:27" s="3" customFormat="1" ht="15" customHeight="1" x14ac:dyDescent="0.2">
      <c r="C21" s="4"/>
      <c r="E21" s="16"/>
      <c r="F21" s="16"/>
      <c r="G21" s="16"/>
      <c r="H21" s="16"/>
      <c r="S21" s="31"/>
      <c r="T21" s="31"/>
      <c r="U21" s="31"/>
      <c r="V21" s="31"/>
      <c r="W21" s="31"/>
      <c r="X21" s="31"/>
      <c r="Y21" s="31"/>
      <c r="Z21" s="31"/>
      <c r="AA21" s="31"/>
    </row>
    <row r="22" spans="3:27" s="3" customFormat="1" ht="15" customHeight="1" x14ac:dyDescent="0.2">
      <c r="C22" s="4"/>
      <c r="E22" s="16"/>
      <c r="F22" s="16"/>
      <c r="G22" s="16"/>
      <c r="H22" s="16"/>
      <c r="S22" s="31"/>
      <c r="T22" s="31"/>
      <c r="U22" s="31"/>
      <c r="V22" s="31"/>
      <c r="W22" s="31"/>
      <c r="X22" s="31"/>
      <c r="Y22" s="31"/>
      <c r="Z22" s="31"/>
      <c r="AA22" s="31"/>
    </row>
    <row r="23" spans="3:27" s="3" customFormat="1" ht="15" customHeight="1" x14ac:dyDescent="0.2">
      <c r="C23" s="4"/>
      <c r="E23" s="16"/>
      <c r="F23" s="16"/>
      <c r="G23" s="16"/>
      <c r="H23" s="16"/>
      <c r="S23" s="31"/>
      <c r="T23" s="31"/>
      <c r="U23" s="31"/>
      <c r="V23" s="31"/>
      <c r="W23" s="31"/>
      <c r="X23" s="31"/>
      <c r="Y23" s="31"/>
      <c r="Z23" s="31"/>
      <c r="AA23" s="31"/>
    </row>
    <row r="24" spans="3:27" s="3" customFormat="1" ht="15" customHeight="1" x14ac:dyDescent="0.2">
      <c r="C24" s="4"/>
      <c r="E24" s="16"/>
      <c r="F24" s="16"/>
      <c r="G24" s="16"/>
      <c r="H24" s="16"/>
      <c r="S24" s="31"/>
      <c r="T24" s="31"/>
      <c r="U24" s="31"/>
      <c r="V24" s="31"/>
      <c r="W24" s="31"/>
      <c r="X24" s="31"/>
      <c r="Y24" s="31"/>
      <c r="Z24" s="31"/>
      <c r="AA24" s="31"/>
    </row>
    <row r="25" spans="3:27" s="3" customFormat="1" ht="15" customHeight="1" x14ac:dyDescent="0.2">
      <c r="C25" s="4"/>
      <c r="E25" s="16"/>
      <c r="F25" s="16"/>
      <c r="G25" s="16"/>
      <c r="H25" s="16"/>
      <c r="S25" s="31"/>
      <c r="T25" s="31"/>
      <c r="U25" s="31"/>
      <c r="V25" s="31"/>
      <c r="W25" s="31"/>
      <c r="X25" s="31"/>
      <c r="Y25" s="31"/>
      <c r="Z25" s="31"/>
      <c r="AA25" s="31"/>
    </row>
    <row r="26" spans="3:27" s="3" customFormat="1" ht="15" customHeight="1" x14ac:dyDescent="0.2">
      <c r="C26" s="4"/>
      <c r="E26" s="16"/>
      <c r="F26" s="16"/>
      <c r="G26" s="16"/>
      <c r="H26" s="16"/>
      <c r="S26" s="31"/>
      <c r="T26" s="31"/>
      <c r="U26" s="31"/>
      <c r="V26" s="31"/>
      <c r="W26" s="31"/>
      <c r="X26" s="31"/>
      <c r="Y26" s="31"/>
      <c r="Z26" s="31"/>
      <c r="AA26" s="31"/>
    </row>
    <row r="27" spans="3:27" s="3" customFormat="1" ht="15" customHeight="1" x14ac:dyDescent="0.2">
      <c r="C27" s="4"/>
      <c r="E27" s="16"/>
      <c r="F27" s="16"/>
      <c r="G27" s="16"/>
      <c r="H27" s="16"/>
      <c r="S27" s="31"/>
      <c r="T27" s="31"/>
      <c r="U27" s="31"/>
      <c r="V27" s="31"/>
      <c r="W27" s="31"/>
      <c r="X27" s="31"/>
      <c r="Y27" s="31"/>
      <c r="Z27" s="31"/>
      <c r="AA27" s="31"/>
    </row>
    <row r="28" spans="3:27" s="3" customFormat="1" ht="15" customHeight="1" x14ac:dyDescent="0.2">
      <c r="C28" s="4"/>
      <c r="E28" s="16"/>
      <c r="F28" s="16"/>
      <c r="G28" s="16"/>
      <c r="H28" s="16"/>
      <c r="S28" s="31"/>
      <c r="T28" s="31"/>
      <c r="U28" s="31"/>
      <c r="V28" s="31"/>
      <c r="W28" s="31"/>
      <c r="X28" s="31"/>
      <c r="Y28" s="31"/>
      <c r="Z28" s="31"/>
      <c r="AA28" s="31"/>
    </row>
    <row r="29" spans="3:27" s="3" customFormat="1" ht="15" customHeight="1" x14ac:dyDescent="0.2">
      <c r="C29" s="4"/>
      <c r="E29" s="16"/>
      <c r="F29" s="16"/>
      <c r="G29" s="16"/>
      <c r="H29" s="16"/>
      <c r="S29" s="31"/>
      <c r="T29" s="31"/>
      <c r="U29" s="31"/>
      <c r="V29" s="31"/>
      <c r="W29" s="31"/>
      <c r="X29" s="31"/>
      <c r="Y29" s="31"/>
      <c r="Z29" s="31"/>
      <c r="AA29" s="31"/>
    </row>
    <row r="30" spans="3:27" s="3" customFormat="1" ht="15" customHeight="1" x14ac:dyDescent="0.2">
      <c r="C30" s="4"/>
      <c r="E30" s="16"/>
      <c r="F30" s="16"/>
      <c r="G30" s="16"/>
      <c r="H30" s="16"/>
      <c r="S30" s="31"/>
      <c r="T30" s="31"/>
      <c r="U30" s="31"/>
      <c r="V30" s="31"/>
      <c r="W30" s="31"/>
      <c r="X30" s="31"/>
      <c r="Y30" s="31"/>
      <c r="Z30" s="31"/>
      <c r="AA30" s="31"/>
    </row>
    <row r="31" spans="3:27" s="3" customFormat="1" ht="15" customHeight="1" x14ac:dyDescent="0.2">
      <c r="C31" s="4"/>
      <c r="E31" s="16"/>
      <c r="F31" s="16"/>
      <c r="G31" s="16"/>
      <c r="H31" s="16"/>
      <c r="S31" s="31"/>
      <c r="T31" s="31"/>
      <c r="U31" s="31"/>
      <c r="V31" s="31"/>
      <c r="W31" s="31"/>
      <c r="X31" s="31"/>
      <c r="Y31" s="31"/>
      <c r="Z31" s="31"/>
      <c r="AA31" s="31"/>
    </row>
    <row r="32" spans="3:27" s="3" customFormat="1" ht="15" customHeight="1" x14ac:dyDescent="0.2">
      <c r="C32" s="4"/>
      <c r="E32" s="16"/>
      <c r="F32" s="16"/>
      <c r="G32" s="16"/>
      <c r="H32" s="16"/>
      <c r="S32" s="31"/>
      <c r="T32" s="31"/>
      <c r="U32" s="31"/>
      <c r="V32" s="31"/>
      <c r="W32" s="31"/>
      <c r="X32" s="31"/>
      <c r="Y32" s="31"/>
      <c r="Z32" s="31"/>
      <c r="AA32" s="31"/>
    </row>
    <row r="33" spans="3:27" s="3" customFormat="1" ht="15" customHeight="1" x14ac:dyDescent="0.2">
      <c r="C33" s="4"/>
      <c r="E33" s="16"/>
      <c r="F33" s="16"/>
      <c r="G33" s="16"/>
      <c r="H33" s="16"/>
      <c r="S33" s="31"/>
      <c r="T33" s="31"/>
      <c r="U33" s="31"/>
      <c r="V33" s="31"/>
      <c r="W33" s="31"/>
      <c r="X33" s="31"/>
      <c r="Y33" s="31"/>
      <c r="Z33" s="31"/>
      <c r="AA33" s="31"/>
    </row>
    <row r="34" spans="3:27" s="3" customFormat="1" ht="15" customHeight="1" x14ac:dyDescent="0.2">
      <c r="C34" s="4"/>
      <c r="E34" s="16"/>
      <c r="F34" s="16"/>
      <c r="G34" s="16"/>
      <c r="H34" s="16"/>
      <c r="S34" s="31"/>
      <c r="T34" s="31"/>
      <c r="U34" s="31"/>
      <c r="V34" s="31"/>
      <c r="W34" s="31"/>
      <c r="X34" s="31"/>
      <c r="Y34" s="31"/>
      <c r="Z34" s="31"/>
      <c r="AA34" s="31"/>
    </row>
    <row r="35" spans="3:27" s="3" customFormat="1" ht="15" customHeight="1" x14ac:dyDescent="0.2">
      <c r="C35" s="4"/>
      <c r="E35" s="16"/>
      <c r="F35" s="16"/>
      <c r="G35" s="16"/>
      <c r="H35" s="16"/>
      <c r="S35" s="31"/>
      <c r="T35" s="31"/>
      <c r="U35" s="31"/>
      <c r="V35" s="31"/>
      <c r="W35" s="31"/>
      <c r="X35" s="31"/>
      <c r="Y35" s="31"/>
      <c r="Z35" s="31"/>
      <c r="AA35" s="31"/>
    </row>
    <row r="36" spans="3:27" s="3" customFormat="1" ht="15" customHeight="1" x14ac:dyDescent="0.2">
      <c r="C36" s="4"/>
      <c r="E36" s="16"/>
      <c r="F36" s="16"/>
      <c r="G36" s="16"/>
      <c r="H36" s="16"/>
      <c r="S36" s="31"/>
      <c r="T36" s="31"/>
      <c r="U36" s="31"/>
      <c r="V36" s="31"/>
      <c r="W36" s="31"/>
      <c r="X36" s="31"/>
      <c r="Y36" s="31"/>
      <c r="Z36" s="31"/>
      <c r="AA36" s="31"/>
    </row>
    <row r="37" spans="3:27" s="3" customFormat="1" ht="15" customHeight="1" x14ac:dyDescent="0.2">
      <c r="C37" s="4"/>
      <c r="E37" s="16"/>
      <c r="F37" s="16"/>
      <c r="G37" s="16"/>
      <c r="H37" s="16"/>
      <c r="S37" s="31"/>
      <c r="T37" s="31"/>
      <c r="U37" s="31"/>
      <c r="V37" s="31"/>
      <c r="W37" s="31"/>
      <c r="X37" s="31"/>
      <c r="Y37" s="31"/>
      <c r="Z37" s="31"/>
      <c r="AA37" s="31"/>
    </row>
    <row r="38" spans="3:27" s="3" customFormat="1" ht="15" customHeight="1" x14ac:dyDescent="0.2">
      <c r="C38" s="4"/>
      <c r="E38" s="16"/>
      <c r="F38" s="16"/>
      <c r="G38" s="16"/>
      <c r="H38" s="16"/>
      <c r="S38" s="31"/>
      <c r="T38" s="31"/>
      <c r="U38" s="31"/>
      <c r="V38" s="31"/>
      <c r="W38" s="31"/>
      <c r="X38" s="31"/>
      <c r="Y38" s="31"/>
      <c r="Z38" s="31"/>
      <c r="AA38" s="31"/>
    </row>
    <row r="39" spans="3:27" s="3" customFormat="1" ht="15" customHeight="1" x14ac:dyDescent="0.2">
      <c r="C39" s="4"/>
      <c r="E39" s="16"/>
      <c r="F39" s="16"/>
      <c r="G39" s="16"/>
      <c r="H39" s="16"/>
      <c r="S39" s="31"/>
      <c r="T39" s="31"/>
      <c r="U39" s="31"/>
      <c r="V39" s="31"/>
      <c r="W39" s="31"/>
      <c r="X39" s="31"/>
      <c r="Y39" s="31"/>
      <c r="Z39" s="31"/>
      <c r="AA39" s="31"/>
    </row>
    <row r="40" spans="3:27" s="3" customFormat="1" ht="15" customHeight="1" x14ac:dyDescent="0.2">
      <c r="C40" s="4"/>
      <c r="E40" s="16"/>
      <c r="F40" s="16"/>
      <c r="G40" s="16"/>
      <c r="H40" s="16"/>
      <c r="S40" s="31"/>
      <c r="T40" s="31"/>
      <c r="U40" s="31"/>
      <c r="V40" s="31"/>
      <c r="W40" s="31"/>
      <c r="X40" s="31"/>
      <c r="Y40" s="31"/>
      <c r="Z40" s="31"/>
      <c r="AA40" s="31"/>
    </row>
    <row r="41" spans="3:27" s="3" customFormat="1" ht="15" customHeight="1" x14ac:dyDescent="0.2">
      <c r="C41" s="4"/>
      <c r="E41" s="16"/>
      <c r="F41" s="16"/>
      <c r="G41" s="16"/>
      <c r="H41" s="16"/>
      <c r="S41" s="31"/>
      <c r="T41" s="31"/>
      <c r="U41" s="31"/>
      <c r="V41" s="31"/>
      <c r="W41" s="31"/>
      <c r="X41" s="31"/>
      <c r="Y41" s="31"/>
      <c r="Z41" s="31"/>
      <c r="AA41" s="31"/>
    </row>
    <row r="42" spans="3:27" s="3" customFormat="1" ht="15" customHeight="1" x14ac:dyDescent="0.2">
      <c r="C42" s="4"/>
      <c r="E42" s="16"/>
      <c r="F42" s="16"/>
      <c r="G42" s="16"/>
      <c r="H42" s="16"/>
      <c r="S42" s="31"/>
      <c r="T42" s="31"/>
      <c r="U42" s="31"/>
      <c r="V42" s="31"/>
      <c r="W42" s="31"/>
      <c r="X42" s="31"/>
      <c r="Y42" s="31"/>
      <c r="Z42" s="31"/>
      <c r="AA42" s="31"/>
    </row>
    <row r="43" spans="3:27" s="3" customFormat="1" ht="15" customHeight="1" x14ac:dyDescent="0.2">
      <c r="C43" s="4"/>
      <c r="E43" s="16"/>
      <c r="F43" s="16"/>
      <c r="G43" s="16"/>
      <c r="H43" s="16"/>
      <c r="S43" s="31"/>
      <c r="T43" s="31"/>
      <c r="U43" s="31"/>
      <c r="V43" s="31"/>
      <c r="W43" s="31"/>
      <c r="X43" s="31"/>
      <c r="Y43" s="31"/>
      <c r="Z43" s="31"/>
      <c r="AA43" s="31"/>
    </row>
    <row r="44" spans="3:27" s="3" customFormat="1" ht="15" customHeight="1" x14ac:dyDescent="0.2">
      <c r="C44" s="4"/>
      <c r="E44" s="16"/>
      <c r="F44" s="16"/>
      <c r="G44" s="16"/>
      <c r="H44" s="16"/>
      <c r="S44" s="31"/>
      <c r="T44" s="31"/>
      <c r="U44" s="31"/>
      <c r="V44" s="31"/>
      <c r="W44" s="31"/>
      <c r="X44" s="31"/>
      <c r="Y44" s="31"/>
      <c r="Z44" s="31"/>
      <c r="AA44" s="31"/>
    </row>
    <row r="45" spans="3:27" s="3" customFormat="1" ht="15" customHeight="1" x14ac:dyDescent="0.2">
      <c r="C45" s="4"/>
      <c r="E45" s="16"/>
      <c r="F45" s="16"/>
      <c r="G45" s="16"/>
      <c r="H45" s="16"/>
      <c r="S45" s="31"/>
      <c r="T45" s="31"/>
      <c r="U45" s="31"/>
      <c r="V45" s="31"/>
      <c r="W45" s="31"/>
      <c r="X45" s="31"/>
      <c r="Y45" s="31"/>
      <c r="Z45" s="31"/>
      <c r="AA45" s="31"/>
    </row>
    <row r="46" spans="3:27" s="3" customFormat="1" ht="15" customHeight="1" x14ac:dyDescent="0.2">
      <c r="C46" s="4"/>
      <c r="E46" s="16"/>
      <c r="F46" s="16"/>
      <c r="G46" s="16"/>
      <c r="H46" s="16"/>
      <c r="S46" s="31"/>
      <c r="T46" s="31"/>
      <c r="U46" s="31"/>
      <c r="V46" s="31"/>
      <c r="W46" s="31"/>
      <c r="X46" s="31"/>
      <c r="Y46" s="31"/>
      <c r="Z46" s="31"/>
      <c r="AA46" s="31"/>
    </row>
    <row r="47" spans="3:27" s="3" customFormat="1" ht="15" customHeight="1" x14ac:dyDescent="0.2">
      <c r="C47" s="4"/>
      <c r="E47" s="16"/>
      <c r="F47" s="16"/>
      <c r="G47" s="16"/>
      <c r="H47" s="16"/>
      <c r="S47" s="31"/>
      <c r="T47" s="31"/>
      <c r="U47" s="31"/>
      <c r="V47" s="31"/>
      <c r="W47" s="31"/>
      <c r="X47" s="31"/>
      <c r="Y47" s="31"/>
      <c r="Z47" s="31"/>
      <c r="AA47" s="31"/>
    </row>
    <row r="48" spans="3:27" s="3" customFormat="1" ht="15" customHeight="1" x14ac:dyDescent="0.2">
      <c r="C48" s="4"/>
      <c r="E48" s="16"/>
      <c r="F48" s="16"/>
      <c r="G48" s="16"/>
      <c r="H48" s="16"/>
      <c r="S48" s="31"/>
      <c r="T48" s="31"/>
      <c r="U48" s="31"/>
      <c r="V48" s="31"/>
      <c r="W48" s="31"/>
      <c r="X48" s="31"/>
      <c r="Y48" s="31"/>
      <c r="Z48" s="31"/>
      <c r="AA48" s="31"/>
    </row>
    <row r="49" spans="3:27" s="3" customFormat="1" ht="7.5" customHeight="1" x14ac:dyDescent="0.2">
      <c r="C49" s="4"/>
      <c r="E49" s="16"/>
      <c r="F49" s="16"/>
      <c r="G49" s="16"/>
      <c r="H49" s="16"/>
      <c r="S49" s="31"/>
      <c r="T49" s="31"/>
      <c r="U49" s="31"/>
      <c r="V49" s="31"/>
      <c r="W49" s="31"/>
      <c r="X49" s="31"/>
      <c r="Y49" s="31"/>
      <c r="Z49" s="31"/>
      <c r="AA49" s="31"/>
    </row>
    <row r="50" spans="3:27" s="3" customFormat="1" ht="7.5" customHeight="1" x14ac:dyDescent="0.2">
      <c r="C50" s="4"/>
      <c r="E50" s="16"/>
      <c r="F50" s="16"/>
      <c r="G50" s="16"/>
      <c r="H50" s="16"/>
      <c r="S50" s="31"/>
      <c r="T50" s="31"/>
      <c r="U50" s="31"/>
      <c r="V50" s="31"/>
      <c r="W50" s="31"/>
      <c r="X50" s="31"/>
      <c r="Y50" s="31"/>
      <c r="Z50" s="31"/>
      <c r="AA50" s="31"/>
    </row>
    <row r="51" spans="3:27" s="3" customFormat="1" ht="15.75" x14ac:dyDescent="0.2">
      <c r="C51" s="4"/>
      <c r="E51" s="16"/>
      <c r="F51" s="16"/>
      <c r="G51" s="16"/>
      <c r="H51" s="16"/>
    </row>
    <row r="52" spans="3:27" s="3" customFormat="1" ht="5.0999999999999996" customHeight="1" x14ac:dyDescent="0.2">
      <c r="C52" s="4"/>
      <c r="E52" s="16"/>
      <c r="F52" s="16"/>
      <c r="G52" s="16"/>
      <c r="H52" s="16"/>
    </row>
    <row r="53" spans="3:27" s="3" customFormat="1" ht="10.5" customHeight="1" x14ac:dyDescent="0.2">
      <c r="E53" s="16"/>
      <c r="F53" s="16"/>
      <c r="G53" s="16"/>
      <c r="H53" s="16"/>
    </row>
    <row r="54" spans="3:27" s="3" customFormat="1" ht="64.5" customHeight="1" x14ac:dyDescent="0.2">
      <c r="C54" s="4"/>
      <c r="D54" s="343"/>
      <c r="E54" s="16"/>
      <c r="F54" s="16"/>
      <c r="G54" s="476" t="s">
        <v>415</v>
      </c>
      <c r="H54" s="459"/>
      <c r="I54" s="459"/>
      <c r="J54" s="459"/>
      <c r="K54" s="459"/>
      <c r="L54" s="459"/>
      <c r="M54" s="477"/>
      <c r="O54" s="886" t="s">
        <v>398</v>
      </c>
      <c r="P54" s="886"/>
      <c r="Q54" s="886"/>
      <c r="S54" s="887">
        <v>1</v>
      </c>
      <c r="T54" s="888"/>
      <c r="U54" s="409" t="s">
        <v>412</v>
      </c>
      <c r="V54" s="409"/>
      <c r="W54" s="409"/>
      <c r="X54" s="409"/>
      <c r="Y54" s="409"/>
      <c r="Z54" s="409"/>
      <c r="AA54" s="410"/>
    </row>
    <row r="55" spans="3:27" s="3" customFormat="1" ht="20.100000000000001" customHeight="1" x14ac:dyDescent="0.2">
      <c r="C55" s="4"/>
      <c r="E55" s="16"/>
      <c r="F55" s="16"/>
      <c r="G55" s="16"/>
      <c r="H55" s="16"/>
      <c r="S55" s="426" t="s">
        <v>133</v>
      </c>
      <c r="T55" s="426"/>
      <c r="U55" s="426"/>
      <c r="V55" s="426"/>
      <c r="W55" s="426"/>
      <c r="X55" s="426"/>
      <c r="Y55" s="426"/>
      <c r="Z55" s="426"/>
      <c r="AA55" s="426"/>
    </row>
    <row r="56" spans="3:27" s="3" customFormat="1" ht="20.100000000000001" customHeight="1" x14ac:dyDescent="0.2">
      <c r="C56" s="4"/>
      <c r="E56" s="16"/>
      <c r="F56" s="16"/>
      <c r="G56" s="16"/>
      <c r="H56" s="16"/>
      <c r="S56" s="426"/>
      <c r="T56" s="426"/>
      <c r="U56" s="426"/>
      <c r="V56" s="426"/>
      <c r="W56" s="426"/>
      <c r="X56" s="426"/>
      <c r="Y56" s="426"/>
      <c r="Z56" s="426"/>
      <c r="AA56" s="426"/>
    </row>
    <row r="57" spans="3:27" s="3" customFormat="1" ht="7.5" customHeight="1" x14ac:dyDescent="0.2">
      <c r="C57" s="4"/>
      <c r="E57" s="16"/>
      <c r="F57" s="16"/>
      <c r="G57" s="16"/>
      <c r="H57" s="16"/>
      <c r="S57" s="31"/>
      <c r="T57" s="31"/>
      <c r="U57" s="31"/>
      <c r="V57" s="31"/>
      <c r="W57" s="31"/>
      <c r="X57" s="31"/>
      <c r="Y57" s="31"/>
      <c r="Z57" s="31"/>
      <c r="AA57" s="31"/>
    </row>
  </sheetData>
  <sheetProtection sheet="1"/>
  <mergeCells count="17">
    <mergeCell ref="E1:L1"/>
    <mergeCell ref="N1:S1"/>
    <mergeCell ref="U1:Z1"/>
    <mergeCell ref="S5:AA5"/>
    <mergeCell ref="G54:M54"/>
    <mergeCell ref="O54:Q54"/>
    <mergeCell ref="S54:T54"/>
    <mergeCell ref="U54:AA54"/>
    <mergeCell ref="E6:F6"/>
    <mergeCell ref="I6:I7"/>
    <mergeCell ref="J6:J7"/>
    <mergeCell ref="G6:H6"/>
    <mergeCell ref="B9:C9"/>
    <mergeCell ref="S55:AA56"/>
    <mergeCell ref="E9:J9"/>
    <mergeCell ref="B10:C10"/>
    <mergeCell ref="B6:C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GI121"/>
  <sheetViews>
    <sheetView topLeftCell="A33" zoomScale="120" zoomScaleNormal="120" workbookViewId="0">
      <selection activeCell="AH83" sqref="AH83:AP83"/>
    </sheetView>
  </sheetViews>
  <sheetFormatPr defaultColWidth="11" defaultRowHeight="20.100000000000001" customHeight="1" x14ac:dyDescent="0.25"/>
  <cols>
    <col min="1" max="1" width="2.625" style="61" customWidth="1"/>
    <col min="2" max="53" width="1.625" style="61" customWidth="1"/>
    <col min="54" max="54" width="2.625" style="61" customWidth="1"/>
    <col min="55" max="90" width="1.625" style="61" customWidth="1"/>
    <col min="91" max="100" width="1.625" style="62" customWidth="1"/>
    <col min="101" max="136" width="1.625" style="61" customWidth="1"/>
    <col min="137" max="137" width="12.625" style="61" customWidth="1"/>
    <col min="138" max="139" width="10.625" style="61" customWidth="1"/>
    <col min="140" max="140" width="12.875" style="61" customWidth="1"/>
    <col min="141" max="141" width="10.375" style="61" bestFit="1" customWidth="1"/>
    <col min="142" max="16384" width="11" style="61"/>
  </cols>
  <sheetData>
    <row r="1" spans="1:191" s="355" customFormat="1" ht="68.25" customHeight="1" thickBot="1" x14ac:dyDescent="0.25">
      <c r="A1" s="364"/>
      <c r="B1" s="364"/>
      <c r="C1" s="364"/>
      <c r="D1" s="364"/>
      <c r="E1" s="364"/>
      <c r="F1" s="364"/>
      <c r="G1" s="364"/>
      <c r="H1" s="364"/>
      <c r="I1" s="364"/>
      <c r="J1" s="364"/>
      <c r="K1" s="364"/>
      <c r="L1" s="364"/>
      <c r="M1" s="364"/>
      <c r="N1" s="364"/>
      <c r="O1" s="364"/>
      <c r="P1" s="364"/>
    </row>
    <row r="2" spans="1:191" ht="7.5" customHeight="1" x14ac:dyDescent="0.25"/>
    <row r="3" spans="1:191" ht="7.35" customHeight="1" x14ac:dyDescent="0.2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6"/>
      <c r="AX3" s="66"/>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4"/>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H3" s="65"/>
      <c r="EI3" s="65"/>
      <c r="EJ3" s="65"/>
      <c r="EK3" s="65"/>
      <c r="EL3" s="65"/>
      <c r="EM3" s="65"/>
    </row>
    <row r="4" spans="1:191" ht="15.75" x14ac:dyDescent="0.25">
      <c r="B4" s="1031" t="s">
        <v>10</v>
      </c>
      <c r="C4" s="1032"/>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2"/>
      <c r="AH4" s="1032"/>
      <c r="AI4" s="1032"/>
      <c r="AJ4" s="1032"/>
      <c r="AK4" s="1032"/>
      <c r="AL4" s="1032"/>
      <c r="AM4" s="1032"/>
      <c r="AN4" s="1032"/>
      <c r="AO4" s="1032"/>
      <c r="AP4" s="1032"/>
      <c r="AQ4" s="1032"/>
      <c r="AR4" s="1032"/>
      <c r="AS4" s="1032"/>
      <c r="AT4" s="1032"/>
      <c r="AU4" s="1032"/>
      <c r="AV4" s="1032"/>
      <c r="AW4" s="1032"/>
      <c r="AX4" s="1032"/>
      <c r="AY4" s="1032"/>
      <c r="AZ4" s="1032"/>
      <c r="BA4" s="1032"/>
      <c r="BB4" s="1032"/>
      <c r="BC4" s="1032"/>
      <c r="BD4" s="1032"/>
      <c r="BE4" s="1032"/>
      <c r="BF4" s="1032"/>
      <c r="BG4" s="1032"/>
      <c r="BH4" s="1032"/>
      <c r="BI4" s="1032"/>
      <c r="BJ4" s="1032"/>
      <c r="BK4" s="1032"/>
      <c r="BL4" s="1032"/>
      <c r="BM4" s="1032"/>
      <c r="BN4" s="1032"/>
      <c r="BO4" s="1032"/>
      <c r="BP4" s="1032"/>
      <c r="BQ4" s="1032"/>
      <c r="BR4" s="1032"/>
      <c r="BS4" s="1032"/>
      <c r="BT4" s="1032"/>
      <c r="BU4" s="1032"/>
      <c r="BV4" s="1032"/>
      <c r="BW4" s="1032"/>
      <c r="BX4" s="1032"/>
      <c r="BY4" s="1032"/>
      <c r="BZ4" s="1032"/>
      <c r="CA4" s="1032"/>
      <c r="CB4" s="1032"/>
      <c r="CC4" s="1032"/>
      <c r="CD4" s="1032"/>
      <c r="CE4" s="1032"/>
      <c r="CF4" s="1032"/>
      <c r="CG4" s="1032"/>
      <c r="CH4" s="1032"/>
      <c r="CI4" s="1032"/>
      <c r="CJ4" s="1032"/>
      <c r="CK4" s="1032"/>
      <c r="CL4" s="1033"/>
      <c r="CM4" s="67"/>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row>
    <row r="5" spans="1:191" ht="7.5" customHeight="1" x14ac:dyDescent="0.25">
      <c r="B5" s="63"/>
      <c r="C5" s="63"/>
      <c r="D5" s="63"/>
      <c r="E5" s="63"/>
      <c r="F5" s="63"/>
      <c r="G5" s="63"/>
      <c r="H5" s="63"/>
      <c r="I5" s="63"/>
      <c r="J5" s="63"/>
      <c r="K5" s="63"/>
      <c r="L5" s="63"/>
      <c r="M5" s="63"/>
      <c r="N5" s="63"/>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3"/>
      <c r="BX5" s="63"/>
      <c r="BY5" s="63"/>
      <c r="BZ5" s="63"/>
      <c r="CA5" s="70"/>
      <c r="CB5" s="63"/>
      <c r="CC5" s="63"/>
      <c r="CD5" s="63"/>
      <c r="CE5" s="63"/>
      <c r="CF5" s="63"/>
      <c r="CG5" s="63"/>
      <c r="CH5" s="63"/>
      <c r="CI5" s="63"/>
      <c r="CJ5" s="63"/>
      <c r="CK5" s="63"/>
      <c r="CL5" s="63"/>
      <c r="CM5" s="67"/>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6"/>
      <c r="DZ5" s="68"/>
      <c r="EA5" s="68"/>
      <c r="EB5" s="68"/>
    </row>
    <row r="6" spans="1:191" s="68" customFormat="1" ht="19.5" customHeight="1" x14ac:dyDescent="0.2">
      <c r="O6" s="964" t="s">
        <v>15</v>
      </c>
      <c r="P6" s="964"/>
      <c r="Q6" s="964"/>
      <c r="R6" s="964"/>
      <c r="S6" s="964"/>
      <c r="T6" s="964"/>
      <c r="U6" s="964"/>
      <c r="V6" s="964"/>
      <c r="W6" s="964"/>
      <c r="X6" s="964"/>
      <c r="Y6" s="964"/>
      <c r="Z6" s="964"/>
      <c r="AA6" s="964"/>
      <c r="AB6" s="964"/>
      <c r="AC6" s="964"/>
      <c r="AD6" s="964"/>
      <c r="AE6" s="964"/>
      <c r="AF6" s="964"/>
      <c r="AG6" s="70"/>
      <c r="AH6" s="964" t="s">
        <v>16</v>
      </c>
      <c r="AI6" s="964"/>
      <c r="AJ6" s="964"/>
      <c r="AK6" s="964"/>
      <c r="AL6" s="964"/>
      <c r="AM6" s="964"/>
      <c r="AN6" s="964"/>
      <c r="AO6" s="964"/>
      <c r="AP6" s="964"/>
      <c r="AQ6" s="964"/>
      <c r="AR6" s="964"/>
      <c r="AS6" s="964"/>
      <c r="AT6" s="964"/>
      <c r="AU6" s="964"/>
      <c r="AV6" s="964"/>
      <c r="AW6" s="964"/>
      <c r="AX6" s="964"/>
      <c r="AY6" s="964"/>
      <c r="AZ6" s="964"/>
      <c r="BA6" s="964"/>
      <c r="BB6" s="964"/>
      <c r="BC6" s="964"/>
      <c r="BD6" s="964"/>
      <c r="BE6" s="964"/>
      <c r="BF6" s="964"/>
      <c r="BG6" s="964"/>
      <c r="BH6" s="964"/>
      <c r="BI6" s="71"/>
      <c r="BJ6" s="893" t="s">
        <v>437</v>
      </c>
      <c r="BK6" s="893"/>
      <c r="BL6" s="893"/>
      <c r="BM6" s="893"/>
      <c r="BN6" s="893"/>
      <c r="BO6" s="893"/>
      <c r="BP6" s="893"/>
      <c r="BQ6" s="893"/>
      <c r="BR6" s="893"/>
      <c r="BS6" s="893" t="s">
        <v>438</v>
      </c>
      <c r="BT6" s="893"/>
      <c r="BU6" s="893"/>
      <c r="BV6" s="893"/>
      <c r="BW6" s="893"/>
      <c r="BX6" s="893"/>
      <c r="BY6" s="893"/>
      <c r="BZ6" s="893"/>
      <c r="CA6" s="893"/>
      <c r="CB6" s="70"/>
      <c r="CC6" s="893" t="s">
        <v>439</v>
      </c>
      <c r="CD6" s="893"/>
      <c r="CE6" s="893"/>
      <c r="CF6" s="893"/>
      <c r="CG6" s="893"/>
      <c r="CH6" s="893"/>
      <c r="CI6" s="893"/>
      <c r="CJ6" s="893"/>
      <c r="CK6" s="893"/>
      <c r="CL6" s="1"/>
      <c r="CM6" s="72"/>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66"/>
    </row>
    <row r="7" spans="1:191" s="68" customFormat="1" ht="24" customHeight="1" x14ac:dyDescent="0.2">
      <c r="O7" s="893" t="s">
        <v>435</v>
      </c>
      <c r="P7" s="893"/>
      <c r="Q7" s="893"/>
      <c r="R7" s="893"/>
      <c r="S7" s="893"/>
      <c r="T7" s="893"/>
      <c r="U7" s="893"/>
      <c r="V7" s="893"/>
      <c r="W7" s="893"/>
      <c r="X7" s="893" t="s">
        <v>436</v>
      </c>
      <c r="Y7" s="893"/>
      <c r="Z7" s="893"/>
      <c r="AA7" s="893"/>
      <c r="AB7" s="893"/>
      <c r="AC7" s="893"/>
      <c r="AD7" s="893"/>
      <c r="AE7" s="893"/>
      <c r="AF7" s="893"/>
      <c r="AG7" s="70"/>
      <c r="AH7" s="893" t="s">
        <v>435</v>
      </c>
      <c r="AI7" s="893"/>
      <c r="AJ7" s="893"/>
      <c r="AK7" s="893"/>
      <c r="AL7" s="893"/>
      <c r="AM7" s="893"/>
      <c r="AN7" s="893"/>
      <c r="AO7" s="893"/>
      <c r="AP7" s="893"/>
      <c r="AQ7" s="893" t="s">
        <v>436</v>
      </c>
      <c r="AR7" s="893"/>
      <c r="AS7" s="893"/>
      <c r="AT7" s="893"/>
      <c r="AU7" s="893"/>
      <c r="AV7" s="893"/>
      <c r="AW7" s="893"/>
      <c r="AX7" s="893"/>
      <c r="AY7" s="893"/>
      <c r="AZ7" s="893" t="s">
        <v>693</v>
      </c>
      <c r="BA7" s="893"/>
      <c r="BB7" s="893"/>
      <c r="BC7" s="893"/>
      <c r="BD7" s="893"/>
      <c r="BE7" s="893"/>
      <c r="BF7" s="893"/>
      <c r="BG7" s="893"/>
      <c r="BH7" s="893"/>
      <c r="BI7" s="74"/>
      <c r="BJ7" s="893"/>
      <c r="BK7" s="893"/>
      <c r="BL7" s="893"/>
      <c r="BM7" s="893"/>
      <c r="BN7" s="893"/>
      <c r="BO7" s="893"/>
      <c r="BP7" s="893"/>
      <c r="BQ7" s="893"/>
      <c r="BR7" s="893"/>
      <c r="BS7" s="893"/>
      <c r="BT7" s="893"/>
      <c r="BU7" s="893"/>
      <c r="BV7" s="893"/>
      <c r="BW7" s="893"/>
      <c r="BX7" s="893"/>
      <c r="BY7" s="893"/>
      <c r="BZ7" s="893"/>
      <c r="CA7" s="893"/>
      <c r="CB7" s="70"/>
      <c r="CC7" s="893"/>
      <c r="CD7" s="893"/>
      <c r="CE7" s="893"/>
      <c r="CF7" s="893"/>
      <c r="CG7" s="893"/>
      <c r="CH7" s="893"/>
      <c r="CI7" s="893"/>
      <c r="CJ7" s="893"/>
      <c r="CK7" s="893"/>
      <c r="CL7" s="1"/>
      <c r="CM7" s="72"/>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941"/>
      <c r="ES7" s="941"/>
      <c r="ET7" s="941"/>
      <c r="EU7" s="941"/>
      <c r="EV7" s="941"/>
      <c r="EW7" s="941"/>
      <c r="EX7" s="941"/>
      <c r="EY7" s="941"/>
      <c r="EZ7" s="941"/>
      <c r="FA7" s="941"/>
      <c r="FB7" s="75"/>
      <c r="FC7" s="75"/>
      <c r="FD7" s="75"/>
      <c r="FE7" s="75"/>
      <c r="FF7" s="75"/>
      <c r="FG7" s="75"/>
      <c r="FH7" s="75"/>
      <c r="FI7" s="75"/>
      <c r="FJ7" s="75"/>
      <c r="FK7" s="75"/>
      <c r="FL7" s="941"/>
      <c r="FM7" s="941"/>
      <c r="FN7" s="76"/>
      <c r="FO7" s="76"/>
      <c r="FP7" s="76"/>
      <c r="FQ7" s="76"/>
      <c r="FR7" s="76"/>
      <c r="FS7" s="76"/>
      <c r="FT7" s="76"/>
      <c r="FU7" s="76"/>
      <c r="FV7" s="76"/>
      <c r="FW7" s="941"/>
      <c r="FX7" s="941"/>
      <c r="FY7" s="76"/>
      <c r="FZ7" s="76"/>
      <c r="GA7" s="76"/>
      <c r="GB7" s="76"/>
      <c r="GC7" s="76"/>
      <c r="GD7" s="76"/>
      <c r="GE7" s="76"/>
      <c r="GF7" s="76"/>
      <c r="GG7" s="941"/>
      <c r="GH7" s="941"/>
      <c r="GI7" s="66"/>
    </row>
    <row r="8" spans="1:191" s="68" customFormat="1" ht="7.5" customHeight="1" x14ac:dyDescent="0.2">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70"/>
      <c r="CC8" s="47"/>
      <c r="CD8" s="47"/>
      <c r="CE8" s="47"/>
      <c r="CF8" s="47"/>
      <c r="CG8" s="47"/>
      <c r="CH8" s="47"/>
      <c r="CI8" s="47"/>
      <c r="CJ8" s="47"/>
      <c r="CK8" s="47"/>
      <c r="CL8" s="1"/>
      <c r="CM8" s="72"/>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row>
    <row r="9" spans="1:191" s="68" customFormat="1" ht="20.100000000000001" hidden="1" customHeight="1" x14ac:dyDescent="0.2">
      <c r="B9" s="995" t="s">
        <v>6</v>
      </c>
      <c r="C9" s="995"/>
      <c r="D9" s="995"/>
      <c r="E9" s="995"/>
      <c r="F9" s="995"/>
      <c r="G9" s="995"/>
      <c r="H9" s="995"/>
      <c r="I9" s="995"/>
      <c r="J9" s="995"/>
      <c r="K9" s="995"/>
      <c r="L9" s="995"/>
      <c r="M9" s="995"/>
      <c r="N9" s="77"/>
      <c r="X9" s="69"/>
      <c r="Y9" s="69"/>
      <c r="Z9" s="69"/>
      <c r="AA9" s="69"/>
      <c r="AB9" s="69"/>
      <c r="AC9" s="69"/>
      <c r="AD9" s="69"/>
      <c r="AE9" s="69"/>
      <c r="AF9" s="69"/>
      <c r="AG9" s="70"/>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CB9" s="70"/>
      <c r="CL9" s="1"/>
      <c r="CM9" s="72"/>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961"/>
      <c r="ES9" s="961"/>
      <c r="ET9" s="961"/>
      <c r="EU9" s="961"/>
      <c r="EV9" s="961"/>
      <c r="EW9" s="961"/>
      <c r="EX9" s="961"/>
      <c r="EY9" s="961"/>
      <c r="EZ9" s="961"/>
      <c r="FA9" s="961"/>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row>
    <row r="10" spans="1:191" s="68" customFormat="1" ht="20.100000000000001" hidden="1" customHeight="1" x14ac:dyDescent="0.2">
      <c r="B10" s="917" t="s">
        <v>13</v>
      </c>
      <c r="C10" s="917"/>
      <c r="D10" s="917"/>
      <c r="E10" s="917"/>
      <c r="F10" s="917"/>
      <c r="G10" s="917"/>
      <c r="H10" s="917"/>
      <c r="I10" s="917"/>
      <c r="J10" s="917"/>
      <c r="K10" s="917"/>
      <c r="L10" s="917"/>
      <c r="M10" s="918"/>
      <c r="N10" s="78"/>
      <c r="O10" s="923">
        <f>GESTANTE!I17*GESTANTE!V27</f>
        <v>60</v>
      </c>
      <c r="P10" s="913"/>
      <c r="Q10" s="913"/>
      <c r="R10" s="913"/>
      <c r="S10" s="913"/>
      <c r="T10" s="913"/>
      <c r="U10" s="913"/>
      <c r="V10" s="913"/>
      <c r="W10" s="913"/>
      <c r="X10" s="913"/>
      <c r="Y10" s="913"/>
      <c r="Z10" s="913"/>
      <c r="AA10" s="913"/>
      <c r="AB10" s="913"/>
      <c r="AC10" s="913"/>
      <c r="AD10" s="913"/>
      <c r="AE10" s="913"/>
      <c r="AF10" s="914"/>
      <c r="AG10" s="70"/>
      <c r="AH10" s="923">
        <f>GESTANTE!I17*GESTANTE!V26</f>
        <v>60</v>
      </c>
      <c r="AI10" s="913"/>
      <c r="AJ10" s="913"/>
      <c r="AK10" s="913"/>
      <c r="AL10" s="913"/>
      <c r="AM10" s="913"/>
      <c r="AN10" s="913"/>
      <c r="AO10" s="913"/>
      <c r="AP10" s="913"/>
      <c r="AQ10" s="913"/>
      <c r="AR10" s="913"/>
      <c r="AS10" s="913"/>
      <c r="AT10" s="913"/>
      <c r="AU10" s="913"/>
      <c r="AV10" s="913"/>
      <c r="AW10" s="913"/>
      <c r="AX10" s="913"/>
      <c r="AY10" s="913"/>
      <c r="AZ10" s="913"/>
      <c r="BA10" s="913"/>
      <c r="BB10" s="913"/>
      <c r="BC10" s="913"/>
      <c r="BD10" s="913"/>
      <c r="BE10" s="913"/>
      <c r="BF10" s="913"/>
      <c r="BG10" s="913"/>
      <c r="BH10" s="913"/>
      <c r="BI10" s="79"/>
      <c r="BJ10" s="913">
        <f>GESTANTE!I17*GESTANTE!V30</f>
        <v>180</v>
      </c>
      <c r="BK10" s="913"/>
      <c r="BL10" s="913"/>
      <c r="BM10" s="913"/>
      <c r="BN10" s="913"/>
      <c r="BO10" s="913"/>
      <c r="BP10" s="913"/>
      <c r="BQ10" s="913"/>
      <c r="BR10" s="913"/>
      <c r="BS10" s="913">
        <f>(GESTANTE!I17/TUTORIAL!V143)*GESTANTE!V32</f>
        <v>9</v>
      </c>
      <c r="BT10" s="913"/>
      <c r="BU10" s="913"/>
      <c r="BV10" s="913"/>
      <c r="BW10" s="913"/>
      <c r="BX10" s="913"/>
      <c r="BY10" s="913"/>
      <c r="BZ10" s="913"/>
      <c r="CA10" s="914"/>
      <c r="CB10" s="70"/>
      <c r="CC10" s="923">
        <f>GESTANTE!I17*GESTANTE!V30</f>
        <v>180</v>
      </c>
      <c r="CD10" s="913"/>
      <c r="CE10" s="913"/>
      <c r="CF10" s="913"/>
      <c r="CG10" s="913"/>
      <c r="CH10" s="913"/>
      <c r="CI10" s="913"/>
      <c r="CJ10" s="913"/>
      <c r="CK10" s="914"/>
      <c r="CL10" s="80"/>
      <c r="CM10" s="72"/>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70"/>
      <c r="ES10" s="70"/>
      <c r="ET10" s="70"/>
      <c r="EU10" s="70"/>
      <c r="EV10" s="70"/>
      <c r="EW10" s="70"/>
      <c r="EX10" s="70"/>
      <c r="EY10" s="70"/>
      <c r="EZ10" s="70"/>
      <c r="FA10" s="70"/>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row>
    <row r="11" spans="1:191" s="68" customFormat="1" ht="20.100000000000001" hidden="1" customHeight="1" x14ac:dyDescent="0.2">
      <c r="B11" s="915" t="s">
        <v>91</v>
      </c>
      <c r="C11" s="915"/>
      <c r="D11" s="915"/>
      <c r="E11" s="915"/>
      <c r="F11" s="915"/>
      <c r="G11" s="915"/>
      <c r="H11" s="915"/>
      <c r="I11" s="915"/>
      <c r="J11" s="915"/>
      <c r="K11" s="915"/>
      <c r="L11" s="915"/>
      <c r="M11" s="916"/>
      <c r="N11" s="81"/>
      <c r="O11" s="963"/>
      <c r="P11" s="924"/>
      <c r="Q11" s="924"/>
      <c r="R11" s="924"/>
      <c r="S11" s="924"/>
      <c r="T11" s="924"/>
      <c r="U11" s="924"/>
      <c r="V11" s="924"/>
      <c r="W11" s="924"/>
      <c r="X11" s="924">
        <f>GESTANTE!M17*GESTANTE!V29</f>
        <v>100</v>
      </c>
      <c r="Y11" s="924"/>
      <c r="Z11" s="924"/>
      <c r="AA11" s="924"/>
      <c r="AB11" s="924"/>
      <c r="AC11" s="924"/>
      <c r="AD11" s="924"/>
      <c r="AE11" s="924"/>
      <c r="AF11" s="962"/>
      <c r="AG11" s="70"/>
      <c r="AH11" s="963"/>
      <c r="AI11" s="924"/>
      <c r="AJ11" s="924"/>
      <c r="AK11" s="924"/>
      <c r="AL11" s="924"/>
      <c r="AM11" s="924"/>
      <c r="AN11" s="924"/>
      <c r="AO11" s="924"/>
      <c r="AP11" s="924"/>
      <c r="AQ11" s="924">
        <f>GESTANTE!M17*GESTANTE!V28</f>
        <v>150</v>
      </c>
      <c r="AR11" s="924"/>
      <c r="AS11" s="924"/>
      <c r="AT11" s="924"/>
      <c r="AU11" s="924"/>
      <c r="AV11" s="924"/>
      <c r="AW11" s="924"/>
      <c r="AX11" s="924"/>
      <c r="AY11" s="924"/>
      <c r="AZ11" s="924"/>
      <c r="BA11" s="924"/>
      <c r="BB11" s="924"/>
      <c r="BC11" s="924"/>
      <c r="BD11" s="924"/>
      <c r="BE11" s="924"/>
      <c r="BF11" s="924"/>
      <c r="BG11" s="924"/>
      <c r="BH11" s="924"/>
      <c r="BI11" s="79"/>
      <c r="BJ11" s="924"/>
      <c r="BK11" s="924"/>
      <c r="BL11" s="924"/>
      <c r="BM11" s="924"/>
      <c r="BN11" s="924"/>
      <c r="BO11" s="924"/>
      <c r="BP11" s="924"/>
      <c r="BQ11" s="924"/>
      <c r="BR11" s="924"/>
      <c r="BS11" s="924"/>
      <c r="BT11" s="924"/>
      <c r="BU11" s="924"/>
      <c r="BV11" s="924"/>
      <c r="BW11" s="924"/>
      <c r="BX11" s="924"/>
      <c r="BY11" s="924"/>
      <c r="BZ11" s="924"/>
      <c r="CA11" s="962"/>
      <c r="CB11" s="70"/>
      <c r="CC11" s="963"/>
      <c r="CD11" s="924"/>
      <c r="CE11" s="924"/>
      <c r="CF11" s="924"/>
      <c r="CG11" s="924"/>
      <c r="CH11" s="924"/>
      <c r="CI11" s="924"/>
      <c r="CJ11" s="924"/>
      <c r="CK11" s="962"/>
      <c r="CL11" s="82"/>
      <c r="CM11" s="72"/>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70"/>
      <c r="ES11" s="70"/>
      <c r="ET11" s="70"/>
      <c r="EU11" s="70"/>
      <c r="EV11" s="70"/>
      <c r="EW11" s="70"/>
      <c r="EX11" s="70"/>
      <c r="EY11" s="70"/>
      <c r="EZ11" s="70"/>
      <c r="FA11" s="70"/>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row>
    <row r="12" spans="1:191" s="68" customFormat="1" ht="20.100000000000001" hidden="1" customHeight="1" x14ac:dyDescent="0.2">
      <c r="B12" s="915" t="s">
        <v>97</v>
      </c>
      <c r="C12" s="915"/>
      <c r="D12" s="915"/>
      <c r="E12" s="915"/>
      <c r="F12" s="915"/>
      <c r="G12" s="915"/>
      <c r="H12" s="915"/>
      <c r="I12" s="915"/>
      <c r="J12" s="915"/>
      <c r="K12" s="915"/>
      <c r="L12" s="915"/>
      <c r="M12" s="916"/>
      <c r="N12" s="81"/>
      <c r="O12" s="963"/>
      <c r="P12" s="924"/>
      <c r="Q12" s="924"/>
      <c r="R12" s="924"/>
      <c r="S12" s="924"/>
      <c r="T12" s="924"/>
      <c r="U12" s="924"/>
      <c r="V12" s="924"/>
      <c r="W12" s="924"/>
      <c r="X12" s="924">
        <f>GESTANTE!Q17*GESTANTE!V29</f>
        <v>18</v>
      </c>
      <c r="Y12" s="924"/>
      <c r="Z12" s="924"/>
      <c r="AA12" s="924"/>
      <c r="AB12" s="924"/>
      <c r="AC12" s="924"/>
      <c r="AD12" s="924"/>
      <c r="AE12" s="924"/>
      <c r="AF12" s="962"/>
      <c r="AG12" s="70"/>
      <c r="AH12" s="963"/>
      <c r="AI12" s="924"/>
      <c r="AJ12" s="924"/>
      <c r="AK12" s="924"/>
      <c r="AL12" s="924"/>
      <c r="AM12" s="924"/>
      <c r="AN12" s="924"/>
      <c r="AO12" s="924"/>
      <c r="AP12" s="924"/>
      <c r="AQ12" s="924">
        <f>GESTANTE!Q17*GESTANTE!V28</f>
        <v>27</v>
      </c>
      <c r="AR12" s="924"/>
      <c r="AS12" s="924"/>
      <c r="AT12" s="924"/>
      <c r="AU12" s="924"/>
      <c r="AV12" s="924"/>
      <c r="AW12" s="924"/>
      <c r="AX12" s="924"/>
      <c r="AY12" s="924"/>
      <c r="AZ12" s="924"/>
      <c r="BA12" s="924"/>
      <c r="BB12" s="924"/>
      <c r="BC12" s="924"/>
      <c r="BD12" s="924"/>
      <c r="BE12" s="924"/>
      <c r="BF12" s="924"/>
      <c r="BG12" s="924"/>
      <c r="BH12" s="924"/>
      <c r="BI12" s="79"/>
      <c r="BJ12" s="924"/>
      <c r="BK12" s="924"/>
      <c r="BL12" s="924"/>
      <c r="BM12" s="924"/>
      <c r="BN12" s="924"/>
      <c r="BO12" s="924"/>
      <c r="BP12" s="924"/>
      <c r="BQ12" s="924"/>
      <c r="BR12" s="924"/>
      <c r="BS12" s="924"/>
      <c r="BT12" s="924"/>
      <c r="BU12" s="924"/>
      <c r="BV12" s="924"/>
      <c r="BW12" s="924"/>
      <c r="BX12" s="924"/>
      <c r="BY12" s="924"/>
      <c r="BZ12" s="924"/>
      <c r="CA12" s="962"/>
      <c r="CB12" s="70"/>
      <c r="CC12" s="963"/>
      <c r="CD12" s="924"/>
      <c r="CE12" s="924"/>
      <c r="CF12" s="924"/>
      <c r="CG12" s="924"/>
      <c r="CH12" s="924"/>
      <c r="CI12" s="924"/>
      <c r="CJ12" s="924"/>
      <c r="CK12" s="962"/>
      <c r="CL12" s="1"/>
      <c r="CM12" s="72"/>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70"/>
      <c r="ES12" s="70"/>
      <c r="ET12" s="70"/>
      <c r="EU12" s="70"/>
      <c r="EV12" s="70"/>
      <c r="EW12" s="70"/>
      <c r="EX12" s="70"/>
      <c r="EY12" s="70"/>
      <c r="EZ12" s="70"/>
      <c r="FA12" s="70"/>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row>
    <row r="13" spans="1:191" ht="20.100000000000001" hidden="1" customHeight="1" x14ac:dyDescent="0.25">
      <c r="B13" s="83"/>
      <c r="C13" s="83"/>
      <c r="D13" s="83"/>
      <c r="E13" s="83"/>
      <c r="F13" s="83"/>
      <c r="G13" s="83"/>
      <c r="H13" s="83"/>
      <c r="I13" s="83"/>
      <c r="J13" s="83"/>
      <c r="K13" s="83"/>
      <c r="L13" s="83"/>
      <c r="M13" s="84"/>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6"/>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68"/>
      <c r="DY13" s="85"/>
      <c r="DZ13" s="85"/>
      <c r="EA13" s="85"/>
    </row>
    <row r="14" spans="1:191" s="68" customFormat="1" ht="20.100000000000001" customHeight="1" x14ac:dyDescent="0.2">
      <c r="B14" s="891" t="s">
        <v>6</v>
      </c>
      <c r="C14" s="891"/>
      <c r="D14" s="891"/>
      <c r="E14" s="891"/>
      <c r="F14" s="891"/>
      <c r="G14" s="891"/>
      <c r="H14" s="891"/>
      <c r="I14" s="891"/>
      <c r="J14" s="891"/>
      <c r="K14" s="891"/>
      <c r="L14" s="891"/>
      <c r="M14" s="891"/>
      <c r="N14" s="81"/>
      <c r="O14" s="892">
        <f>SUM(O10:W12)</f>
        <v>60</v>
      </c>
      <c r="P14" s="892"/>
      <c r="Q14" s="892"/>
      <c r="R14" s="892"/>
      <c r="S14" s="892"/>
      <c r="T14" s="892"/>
      <c r="U14" s="892"/>
      <c r="V14" s="892"/>
      <c r="W14" s="892"/>
      <c r="X14" s="892">
        <f>SUM(X10:AF12)</f>
        <v>118</v>
      </c>
      <c r="Y14" s="892"/>
      <c r="Z14" s="892"/>
      <c r="AA14" s="892"/>
      <c r="AB14" s="892"/>
      <c r="AC14" s="892"/>
      <c r="AD14" s="892"/>
      <c r="AE14" s="892"/>
      <c r="AF14" s="892"/>
      <c r="AG14" s="70"/>
      <c r="AH14" s="892">
        <f>SUM(AH10:AP12)</f>
        <v>60</v>
      </c>
      <c r="AI14" s="892"/>
      <c r="AJ14" s="892"/>
      <c r="AK14" s="892"/>
      <c r="AL14" s="892"/>
      <c r="AM14" s="892"/>
      <c r="AN14" s="892"/>
      <c r="AO14" s="892"/>
      <c r="AP14" s="892"/>
      <c r="AQ14" s="892">
        <f>SUM(AQ10:AY12)</f>
        <v>177</v>
      </c>
      <c r="AR14" s="892"/>
      <c r="AS14" s="892"/>
      <c r="AT14" s="892"/>
      <c r="AU14" s="892"/>
      <c r="AV14" s="892"/>
      <c r="AW14" s="892"/>
      <c r="AX14" s="892"/>
      <c r="AY14" s="892"/>
      <c r="AZ14" s="892">
        <f>SUM(AZ10:BH12)</f>
        <v>0</v>
      </c>
      <c r="BA14" s="892"/>
      <c r="BB14" s="892"/>
      <c r="BC14" s="892"/>
      <c r="BD14" s="892"/>
      <c r="BE14" s="892"/>
      <c r="BF14" s="892"/>
      <c r="BG14" s="892"/>
      <c r="BH14" s="892"/>
      <c r="BI14" s="70"/>
      <c r="BJ14" s="892">
        <f>SUM(BJ10:BR12)</f>
        <v>180</v>
      </c>
      <c r="BK14" s="892"/>
      <c r="BL14" s="892"/>
      <c r="BM14" s="892"/>
      <c r="BN14" s="892"/>
      <c r="BO14" s="892"/>
      <c r="BP14" s="892"/>
      <c r="BQ14" s="892"/>
      <c r="BR14" s="892"/>
      <c r="BS14" s="892">
        <f>SUM(BS10:CA12)</f>
        <v>9</v>
      </c>
      <c r="BT14" s="892"/>
      <c r="BU14" s="892"/>
      <c r="BV14" s="892"/>
      <c r="BW14" s="892"/>
      <c r="BX14" s="892"/>
      <c r="BY14" s="892"/>
      <c r="BZ14" s="892"/>
      <c r="CA14" s="892"/>
      <c r="CB14" s="70"/>
      <c r="CC14" s="892">
        <f>SUM(CC10:CK12)</f>
        <v>180</v>
      </c>
      <c r="CD14" s="892"/>
      <c r="CE14" s="892"/>
      <c r="CF14" s="892"/>
      <c r="CG14" s="892"/>
      <c r="CH14" s="892"/>
      <c r="CI14" s="892"/>
      <c r="CJ14" s="892"/>
      <c r="CK14" s="892"/>
      <c r="CL14" s="69"/>
      <c r="CM14" s="72"/>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70"/>
      <c r="ES14" s="70"/>
      <c r="ET14" s="70"/>
      <c r="EU14" s="70"/>
      <c r="EV14" s="70"/>
      <c r="EW14" s="70"/>
      <c r="EX14" s="70"/>
      <c r="EY14" s="70"/>
      <c r="EZ14" s="70"/>
      <c r="FA14" s="70"/>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row>
    <row r="15" spans="1:191" s="68" customFormat="1" ht="7.5" customHeight="1" x14ac:dyDescent="0.2">
      <c r="B15" s="87"/>
      <c r="C15" s="87"/>
      <c r="D15" s="87"/>
      <c r="E15" s="87"/>
      <c r="F15" s="87"/>
      <c r="G15" s="87"/>
      <c r="H15" s="87"/>
      <c r="I15" s="87"/>
      <c r="J15" s="87"/>
      <c r="K15" s="87"/>
      <c r="L15" s="87"/>
      <c r="M15" s="87"/>
      <c r="O15" s="47"/>
      <c r="P15" s="47"/>
      <c r="Q15" s="47"/>
      <c r="R15" s="47"/>
      <c r="S15" s="47"/>
      <c r="T15" s="47"/>
      <c r="U15" s="47"/>
      <c r="V15" s="47"/>
      <c r="W15" s="47"/>
      <c r="X15" s="47"/>
      <c r="Y15" s="47"/>
      <c r="Z15" s="47"/>
      <c r="AA15" s="47"/>
      <c r="AB15" s="47"/>
      <c r="AC15" s="47"/>
      <c r="AD15" s="47"/>
      <c r="AE15" s="47"/>
      <c r="AF15" s="47"/>
      <c r="AG15" s="70"/>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70"/>
      <c r="CC15" s="47"/>
      <c r="CD15" s="47"/>
      <c r="CE15" s="47"/>
      <c r="CF15" s="47"/>
      <c r="CG15" s="47"/>
      <c r="CH15" s="47"/>
      <c r="CI15" s="47"/>
      <c r="CJ15" s="47"/>
      <c r="CK15" s="47"/>
      <c r="CL15" s="1"/>
      <c r="CM15" s="72"/>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row>
    <row r="16" spans="1:191" s="68" customFormat="1" ht="20.100000000000001" hidden="1" customHeight="1" x14ac:dyDescent="0.2">
      <c r="B16" s="995" t="s">
        <v>12</v>
      </c>
      <c r="C16" s="995"/>
      <c r="D16" s="995"/>
      <c r="E16" s="995"/>
      <c r="F16" s="995"/>
      <c r="G16" s="995"/>
      <c r="H16" s="995"/>
      <c r="I16" s="995"/>
      <c r="J16" s="995"/>
      <c r="K16" s="995"/>
      <c r="L16" s="995"/>
      <c r="M16" s="995"/>
      <c r="N16" s="77"/>
      <c r="O16" s="961"/>
      <c r="P16" s="961"/>
      <c r="Q16" s="961"/>
      <c r="R16" s="961"/>
      <c r="S16" s="961"/>
      <c r="T16" s="961"/>
      <c r="U16" s="961"/>
      <c r="V16" s="961"/>
      <c r="W16" s="961"/>
      <c r="X16" s="961"/>
      <c r="Y16" s="961"/>
      <c r="Z16" s="961"/>
      <c r="AA16" s="961"/>
      <c r="AB16" s="961"/>
      <c r="AC16" s="961"/>
      <c r="AD16" s="961"/>
      <c r="AE16" s="961"/>
      <c r="AF16" s="961"/>
      <c r="AG16" s="70"/>
      <c r="AH16" s="961"/>
      <c r="AI16" s="961"/>
      <c r="AJ16" s="961"/>
      <c r="AK16" s="961"/>
      <c r="AL16" s="961"/>
      <c r="AM16" s="961"/>
      <c r="AN16" s="961"/>
      <c r="AO16" s="961"/>
      <c r="AP16" s="961"/>
      <c r="AQ16" s="961"/>
      <c r="AR16" s="961"/>
      <c r="AS16" s="961"/>
      <c r="AT16" s="961"/>
      <c r="AU16" s="961"/>
      <c r="AV16" s="961"/>
      <c r="AW16" s="961"/>
      <c r="AX16" s="961"/>
      <c r="AY16" s="961"/>
      <c r="AZ16" s="961"/>
      <c r="BA16" s="961"/>
      <c r="BB16" s="961"/>
      <c r="BC16" s="961"/>
      <c r="BD16" s="961"/>
      <c r="BE16" s="961"/>
      <c r="BF16" s="961"/>
      <c r="BG16" s="961"/>
      <c r="BH16" s="961"/>
      <c r="BI16" s="70"/>
      <c r="BJ16" s="961"/>
      <c r="BK16" s="961"/>
      <c r="BL16" s="961"/>
      <c r="BM16" s="961"/>
      <c r="BN16" s="961"/>
      <c r="BO16" s="961"/>
      <c r="BP16" s="961"/>
      <c r="BQ16" s="961"/>
      <c r="BR16" s="961"/>
      <c r="BS16" s="961"/>
      <c r="BT16" s="961"/>
      <c r="BU16" s="961"/>
      <c r="BV16" s="961"/>
      <c r="BW16" s="961"/>
      <c r="BX16" s="961"/>
      <c r="BY16" s="961"/>
      <c r="BZ16" s="961"/>
      <c r="CA16" s="961"/>
      <c r="CB16" s="70"/>
      <c r="CC16" s="961"/>
      <c r="CD16" s="961"/>
      <c r="CE16" s="961"/>
      <c r="CF16" s="961"/>
      <c r="CG16" s="961"/>
      <c r="CH16" s="961"/>
      <c r="CI16" s="961"/>
      <c r="CJ16" s="961"/>
      <c r="CK16" s="961"/>
      <c r="CL16" s="1"/>
      <c r="CM16" s="72"/>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70"/>
      <c r="ES16" s="70"/>
      <c r="ET16" s="70"/>
      <c r="EU16" s="70"/>
      <c r="EV16" s="70"/>
      <c r="EW16" s="70"/>
      <c r="EX16" s="70"/>
      <c r="EY16" s="70"/>
      <c r="EZ16" s="70"/>
      <c r="FA16" s="70"/>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row>
    <row r="17" spans="2:190" s="68" customFormat="1" ht="20.100000000000001" hidden="1" customHeight="1" x14ac:dyDescent="0.2">
      <c r="B17" s="999" t="s">
        <v>13</v>
      </c>
      <c r="C17" s="999"/>
      <c r="D17" s="999"/>
      <c r="E17" s="999"/>
      <c r="F17" s="999"/>
      <c r="G17" s="999"/>
      <c r="H17" s="999"/>
      <c r="I17" s="999"/>
      <c r="J17" s="999"/>
      <c r="K17" s="999"/>
      <c r="L17" s="999"/>
      <c r="M17" s="1000"/>
      <c r="N17" s="81"/>
      <c r="O17" s="965"/>
      <c r="P17" s="966"/>
      <c r="Q17" s="966"/>
      <c r="R17" s="966"/>
      <c r="S17" s="966"/>
      <c r="T17" s="966"/>
      <c r="U17" s="966"/>
      <c r="V17" s="966"/>
      <c r="W17" s="966"/>
      <c r="X17" s="965">
        <f>GESTANTE!I17*GESTANTE!V39</f>
        <v>120</v>
      </c>
      <c r="Y17" s="966"/>
      <c r="Z17" s="966"/>
      <c r="AA17" s="966"/>
      <c r="AB17" s="966"/>
      <c r="AC17" s="966"/>
      <c r="AD17" s="966"/>
      <c r="AE17" s="966"/>
      <c r="AF17" s="966"/>
      <c r="AG17" s="70"/>
      <c r="AH17" s="965"/>
      <c r="AI17" s="966"/>
      <c r="AJ17" s="966"/>
      <c r="AK17" s="966"/>
      <c r="AL17" s="966"/>
      <c r="AM17" s="966"/>
      <c r="AN17" s="966"/>
      <c r="AO17" s="966"/>
      <c r="AP17" s="966"/>
      <c r="AQ17" s="966">
        <f>GESTANTE!I17*GESTANTE!V39</f>
        <v>120</v>
      </c>
      <c r="AR17" s="966"/>
      <c r="AS17" s="966"/>
      <c r="AT17" s="966"/>
      <c r="AU17" s="966"/>
      <c r="AV17" s="966"/>
      <c r="AW17" s="966"/>
      <c r="AX17" s="966"/>
      <c r="AY17" s="966"/>
      <c r="AZ17" s="966"/>
      <c r="BA17" s="966"/>
      <c r="BB17" s="966"/>
      <c r="BC17" s="966"/>
      <c r="BD17" s="966"/>
      <c r="BE17" s="966"/>
      <c r="BF17" s="966"/>
      <c r="BG17" s="966"/>
      <c r="BH17" s="966"/>
      <c r="BI17" s="79"/>
      <c r="BJ17" s="966"/>
      <c r="BK17" s="966"/>
      <c r="BL17" s="966"/>
      <c r="BM17" s="966"/>
      <c r="BN17" s="966"/>
      <c r="BO17" s="966"/>
      <c r="BP17" s="966"/>
      <c r="BQ17" s="966"/>
      <c r="BR17" s="966"/>
      <c r="BS17" s="966"/>
      <c r="BT17" s="966"/>
      <c r="BU17" s="966"/>
      <c r="BV17" s="966"/>
      <c r="BW17" s="966"/>
      <c r="BX17" s="966"/>
      <c r="BY17" s="966"/>
      <c r="BZ17" s="966"/>
      <c r="CA17" s="967"/>
      <c r="CB17" s="70"/>
      <c r="CC17" s="965"/>
      <c r="CD17" s="966"/>
      <c r="CE17" s="966"/>
      <c r="CF17" s="966"/>
      <c r="CG17" s="966"/>
      <c r="CH17" s="966"/>
      <c r="CI17" s="966"/>
      <c r="CJ17" s="966"/>
      <c r="CK17" s="967"/>
      <c r="CL17" s="1"/>
      <c r="CM17" s="72"/>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70"/>
      <c r="ES17" s="70"/>
      <c r="ET17" s="70"/>
      <c r="EU17" s="70"/>
      <c r="EV17" s="70"/>
      <c r="EW17" s="70"/>
      <c r="EX17" s="70"/>
      <c r="EY17" s="70"/>
      <c r="EZ17" s="70"/>
      <c r="FA17" s="70"/>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row>
    <row r="18" spans="2:190" ht="20.100000000000001" hidden="1" customHeight="1" x14ac:dyDescent="0.25">
      <c r="B18" s="83"/>
      <c r="C18" s="83"/>
      <c r="D18" s="83"/>
      <c r="E18" s="83"/>
      <c r="F18" s="83"/>
      <c r="G18" s="83"/>
      <c r="H18" s="83"/>
      <c r="I18" s="83"/>
      <c r="J18" s="83"/>
      <c r="K18" s="83"/>
      <c r="L18" s="83"/>
      <c r="M18" s="84"/>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6"/>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68"/>
      <c r="DY18" s="85"/>
      <c r="DZ18" s="85"/>
      <c r="EA18" s="85"/>
    </row>
    <row r="19" spans="2:190" s="68" customFormat="1" ht="20.100000000000001" customHeight="1" x14ac:dyDescent="0.2">
      <c r="B19" s="891" t="s">
        <v>12</v>
      </c>
      <c r="C19" s="891"/>
      <c r="D19" s="891"/>
      <c r="E19" s="891"/>
      <c r="F19" s="891"/>
      <c r="G19" s="891"/>
      <c r="H19" s="891"/>
      <c r="I19" s="891"/>
      <c r="J19" s="891"/>
      <c r="K19" s="891"/>
      <c r="L19" s="891"/>
      <c r="M19" s="891"/>
      <c r="N19" s="81"/>
      <c r="O19" s="892">
        <f>SUM(O17)</f>
        <v>0</v>
      </c>
      <c r="P19" s="892"/>
      <c r="Q19" s="892"/>
      <c r="R19" s="892"/>
      <c r="S19" s="892"/>
      <c r="T19" s="892"/>
      <c r="U19" s="892"/>
      <c r="V19" s="892"/>
      <c r="W19" s="892"/>
      <c r="X19" s="892">
        <f>SUM(X17)</f>
        <v>120</v>
      </c>
      <c r="Y19" s="892"/>
      <c r="Z19" s="892"/>
      <c r="AA19" s="892"/>
      <c r="AB19" s="892"/>
      <c r="AC19" s="892"/>
      <c r="AD19" s="892"/>
      <c r="AE19" s="892"/>
      <c r="AF19" s="892"/>
      <c r="AG19" s="70"/>
      <c r="AH19" s="892">
        <f>SUM(AH17)</f>
        <v>0</v>
      </c>
      <c r="AI19" s="892"/>
      <c r="AJ19" s="892"/>
      <c r="AK19" s="892"/>
      <c r="AL19" s="892"/>
      <c r="AM19" s="892"/>
      <c r="AN19" s="892"/>
      <c r="AO19" s="892"/>
      <c r="AP19" s="892"/>
      <c r="AQ19" s="892">
        <f>SUM(AQ17)</f>
        <v>120</v>
      </c>
      <c r="AR19" s="892"/>
      <c r="AS19" s="892"/>
      <c r="AT19" s="892"/>
      <c r="AU19" s="892"/>
      <c r="AV19" s="892"/>
      <c r="AW19" s="892"/>
      <c r="AX19" s="892"/>
      <c r="AY19" s="892"/>
      <c r="AZ19" s="892">
        <f>SUM(AZ17)</f>
        <v>0</v>
      </c>
      <c r="BA19" s="892"/>
      <c r="BB19" s="892"/>
      <c r="BC19" s="892"/>
      <c r="BD19" s="892"/>
      <c r="BE19" s="892"/>
      <c r="BF19" s="892"/>
      <c r="BG19" s="892"/>
      <c r="BH19" s="892"/>
      <c r="BI19" s="70"/>
      <c r="BJ19" s="892">
        <f>SUM(BJ17)</f>
        <v>0</v>
      </c>
      <c r="BK19" s="892"/>
      <c r="BL19" s="892"/>
      <c r="BM19" s="892"/>
      <c r="BN19" s="892"/>
      <c r="BO19" s="892"/>
      <c r="BP19" s="892"/>
      <c r="BQ19" s="892"/>
      <c r="BR19" s="892"/>
      <c r="BS19" s="892"/>
      <c r="BT19" s="892"/>
      <c r="BU19" s="892"/>
      <c r="BV19" s="892"/>
      <c r="BW19" s="892"/>
      <c r="BX19" s="892"/>
      <c r="BY19" s="892"/>
      <c r="BZ19" s="892"/>
      <c r="CA19" s="892"/>
      <c r="CB19" s="70"/>
      <c r="CC19" s="892">
        <f>SUM(CC17)</f>
        <v>0</v>
      </c>
      <c r="CD19" s="892"/>
      <c r="CE19" s="892"/>
      <c r="CF19" s="892"/>
      <c r="CG19" s="892"/>
      <c r="CH19" s="892"/>
      <c r="CI19" s="892"/>
      <c r="CJ19" s="892"/>
      <c r="CK19" s="892"/>
      <c r="CL19" s="69"/>
      <c r="CM19" s="72"/>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70"/>
      <c r="ES19" s="70"/>
      <c r="ET19" s="70"/>
      <c r="EU19" s="70"/>
      <c r="EV19" s="70"/>
      <c r="EW19" s="70"/>
      <c r="EX19" s="70"/>
      <c r="EY19" s="70"/>
      <c r="EZ19" s="70"/>
      <c r="FA19" s="70"/>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row>
    <row r="20" spans="2:190" s="68" customFormat="1" ht="7.5" customHeight="1" x14ac:dyDescent="0.2">
      <c r="B20" s="87"/>
      <c r="C20" s="87"/>
      <c r="D20" s="87"/>
      <c r="E20" s="87"/>
      <c r="F20" s="87"/>
      <c r="G20" s="87"/>
      <c r="H20" s="87"/>
      <c r="I20" s="87"/>
      <c r="J20" s="87"/>
      <c r="K20" s="87"/>
      <c r="L20" s="87"/>
      <c r="M20" s="87"/>
      <c r="O20" s="47"/>
      <c r="P20" s="47"/>
      <c r="Q20" s="47"/>
      <c r="R20" s="47"/>
      <c r="S20" s="47"/>
      <c r="T20" s="47"/>
      <c r="U20" s="47"/>
      <c r="V20" s="47"/>
      <c r="W20" s="47"/>
      <c r="X20" s="47"/>
      <c r="Y20" s="47"/>
      <c r="Z20" s="47"/>
      <c r="AA20" s="47"/>
      <c r="AB20" s="47"/>
      <c r="AC20" s="47"/>
      <c r="AD20" s="47"/>
      <c r="AE20" s="47"/>
      <c r="AF20" s="47"/>
      <c r="AG20" s="70"/>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70"/>
      <c r="CC20" s="47"/>
      <c r="CD20" s="47"/>
      <c r="CE20" s="47"/>
      <c r="CF20" s="47"/>
      <c r="CG20" s="47"/>
      <c r="CH20" s="47"/>
      <c r="CI20" s="47"/>
      <c r="CJ20" s="47"/>
      <c r="CK20" s="47"/>
      <c r="CL20" s="1"/>
      <c r="CM20" s="72"/>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row>
    <row r="21" spans="2:190" s="68" customFormat="1" ht="20.100000000000001" hidden="1" customHeight="1" x14ac:dyDescent="0.2">
      <c r="B21" s="997" t="s">
        <v>7</v>
      </c>
      <c r="C21" s="997"/>
      <c r="D21" s="997"/>
      <c r="E21" s="997"/>
      <c r="F21" s="997"/>
      <c r="G21" s="997"/>
      <c r="H21" s="997"/>
      <c r="I21" s="997"/>
      <c r="J21" s="997"/>
      <c r="K21" s="997"/>
      <c r="L21" s="997"/>
      <c r="M21" s="997"/>
      <c r="N21" s="78"/>
      <c r="O21" s="961"/>
      <c r="P21" s="961"/>
      <c r="Q21" s="961"/>
      <c r="R21" s="961"/>
      <c r="S21" s="961"/>
      <c r="T21" s="961"/>
      <c r="U21" s="961"/>
      <c r="V21" s="961"/>
      <c r="W21" s="961"/>
      <c r="X21" s="961"/>
      <c r="Y21" s="961"/>
      <c r="Z21" s="961"/>
      <c r="AA21" s="961"/>
      <c r="AB21" s="961"/>
      <c r="AC21" s="961"/>
      <c r="AD21" s="961"/>
      <c r="AE21" s="961"/>
      <c r="AF21" s="961"/>
      <c r="AG21" s="70"/>
      <c r="AH21" s="961"/>
      <c r="AI21" s="961"/>
      <c r="AJ21" s="961"/>
      <c r="AK21" s="961"/>
      <c r="AL21" s="961"/>
      <c r="AM21" s="961"/>
      <c r="AN21" s="961"/>
      <c r="AO21" s="961"/>
      <c r="AP21" s="961"/>
      <c r="AQ21" s="961"/>
      <c r="AR21" s="961"/>
      <c r="AS21" s="961"/>
      <c r="AT21" s="961"/>
      <c r="AU21" s="961"/>
      <c r="AV21" s="961"/>
      <c r="AW21" s="961"/>
      <c r="AX21" s="961"/>
      <c r="AY21" s="961"/>
      <c r="AZ21" s="961"/>
      <c r="BA21" s="961"/>
      <c r="BB21" s="961"/>
      <c r="BC21" s="961"/>
      <c r="BD21" s="961"/>
      <c r="BE21" s="961"/>
      <c r="BF21" s="961"/>
      <c r="BG21" s="961"/>
      <c r="BH21" s="961"/>
      <c r="BI21" s="70"/>
      <c r="BJ21" s="961"/>
      <c r="BK21" s="961"/>
      <c r="BL21" s="961"/>
      <c r="BM21" s="961"/>
      <c r="BN21" s="961"/>
      <c r="BO21" s="961"/>
      <c r="BP21" s="961"/>
      <c r="BQ21" s="961"/>
      <c r="BR21" s="961"/>
      <c r="BS21" s="961"/>
      <c r="BT21" s="961"/>
      <c r="BU21" s="961"/>
      <c r="BV21" s="961"/>
      <c r="BW21" s="961"/>
      <c r="BX21" s="961"/>
      <c r="BY21" s="961"/>
      <c r="BZ21" s="961"/>
      <c r="CA21" s="961"/>
      <c r="CB21" s="70"/>
      <c r="CC21" s="961"/>
      <c r="CD21" s="961"/>
      <c r="CE21" s="961"/>
      <c r="CF21" s="961"/>
      <c r="CG21" s="961"/>
      <c r="CH21" s="961"/>
      <c r="CI21" s="961"/>
      <c r="CJ21" s="961"/>
      <c r="CK21" s="961"/>
      <c r="CL21" s="1"/>
      <c r="CM21" s="72"/>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70"/>
      <c r="ES21" s="70"/>
      <c r="ET21" s="70"/>
      <c r="EU21" s="70"/>
      <c r="EV21" s="70"/>
      <c r="EW21" s="70"/>
      <c r="EX21" s="70"/>
      <c r="EY21" s="70"/>
      <c r="EZ21" s="70"/>
      <c r="FA21" s="70"/>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row>
    <row r="22" spans="2:190" s="68" customFormat="1" ht="20.100000000000001" hidden="1" customHeight="1" x14ac:dyDescent="0.2">
      <c r="B22" s="997" t="s">
        <v>572</v>
      </c>
      <c r="C22" s="997"/>
      <c r="D22" s="997"/>
      <c r="E22" s="997"/>
      <c r="F22" s="997"/>
      <c r="G22" s="997"/>
      <c r="H22" s="997"/>
      <c r="I22" s="997"/>
      <c r="J22" s="997"/>
      <c r="K22" s="997"/>
      <c r="L22" s="997"/>
      <c r="M22" s="997"/>
      <c r="N22" s="997"/>
      <c r="O22" s="997"/>
      <c r="P22" s="997"/>
      <c r="Q22" s="997"/>
      <c r="R22" s="997"/>
      <c r="S22" s="997"/>
      <c r="T22" s="997"/>
      <c r="U22" s="997"/>
      <c r="V22" s="997"/>
      <c r="W22" s="997"/>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1"/>
      <c r="CM22" s="72"/>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70"/>
      <c r="ES22" s="70"/>
      <c r="ET22" s="70"/>
      <c r="EU22" s="70"/>
      <c r="EV22" s="70"/>
      <c r="EW22" s="70"/>
      <c r="EX22" s="70"/>
      <c r="EY22" s="70"/>
      <c r="EZ22" s="70"/>
      <c r="FA22" s="70"/>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row>
    <row r="23" spans="2:190" s="68" customFormat="1" ht="20.100000000000001" hidden="1" customHeight="1" x14ac:dyDescent="0.2">
      <c r="B23" s="917" t="s">
        <v>13</v>
      </c>
      <c r="C23" s="917"/>
      <c r="D23" s="917"/>
      <c r="E23" s="917"/>
      <c r="F23" s="917"/>
      <c r="G23" s="917"/>
      <c r="H23" s="917"/>
      <c r="I23" s="917"/>
      <c r="J23" s="917"/>
      <c r="K23" s="917"/>
      <c r="L23" s="917"/>
      <c r="M23" s="918"/>
      <c r="N23" s="81"/>
      <c r="O23" s="923">
        <f>SUM(CRIANÇA!N28:Q29)*CRIANÇA!V42</f>
        <v>103.76349999999999</v>
      </c>
      <c r="P23" s="913"/>
      <c r="Q23" s="913"/>
      <c r="R23" s="913"/>
      <c r="S23" s="913"/>
      <c r="T23" s="913"/>
      <c r="U23" s="913"/>
      <c r="V23" s="913"/>
      <c r="W23" s="913"/>
      <c r="X23" s="913"/>
      <c r="Y23" s="913"/>
      <c r="Z23" s="913"/>
      <c r="AA23" s="913"/>
      <c r="AB23" s="913"/>
      <c r="AC23" s="913"/>
      <c r="AD23" s="913"/>
      <c r="AE23" s="913"/>
      <c r="AF23" s="914"/>
      <c r="AG23" s="70"/>
      <c r="AH23" s="923">
        <f>SUM(CRIANÇA!N28:Q29)*CRIANÇA!V41</f>
        <v>103.76349999999999</v>
      </c>
      <c r="AI23" s="913"/>
      <c r="AJ23" s="913"/>
      <c r="AK23" s="913"/>
      <c r="AL23" s="913"/>
      <c r="AM23" s="913"/>
      <c r="AN23" s="913"/>
      <c r="AO23" s="913"/>
      <c r="AP23" s="913"/>
      <c r="AQ23" s="913"/>
      <c r="AR23" s="913"/>
      <c r="AS23" s="913"/>
      <c r="AT23" s="913"/>
      <c r="AU23" s="913"/>
      <c r="AV23" s="913"/>
      <c r="AW23" s="913"/>
      <c r="AX23" s="913"/>
      <c r="AY23" s="913"/>
      <c r="AZ23" s="913"/>
      <c r="BA23" s="913"/>
      <c r="BB23" s="913"/>
      <c r="BC23" s="913"/>
      <c r="BD23" s="913"/>
      <c r="BE23" s="913"/>
      <c r="BF23" s="913"/>
      <c r="BG23" s="913"/>
      <c r="BH23" s="913"/>
      <c r="BI23" s="79"/>
      <c r="BJ23" s="913">
        <f>SUM(CRIANÇA!N28:Q29)*CRIANÇA!V46</f>
        <v>1245.1619999999998</v>
      </c>
      <c r="BK23" s="913"/>
      <c r="BL23" s="913"/>
      <c r="BM23" s="913"/>
      <c r="BN23" s="913"/>
      <c r="BO23" s="913"/>
      <c r="BP23" s="913"/>
      <c r="BQ23" s="913"/>
      <c r="BR23" s="913"/>
      <c r="BS23" s="913">
        <f>(SUM(CRIANÇA!N28:Q29)*CRIANÇA!V47)/TUTORIAL!V143</f>
        <v>20.752699999999997</v>
      </c>
      <c r="BT23" s="913"/>
      <c r="BU23" s="913"/>
      <c r="BV23" s="913"/>
      <c r="BW23" s="913"/>
      <c r="BX23" s="913"/>
      <c r="BY23" s="913"/>
      <c r="BZ23" s="913"/>
      <c r="CA23" s="914"/>
      <c r="CB23" s="70"/>
      <c r="CC23" s="923">
        <f>SUM(CRIANÇA!N28:Q29)*CRIANÇA!V45</f>
        <v>207.52699999999999</v>
      </c>
      <c r="CD23" s="913"/>
      <c r="CE23" s="913"/>
      <c r="CF23" s="913"/>
      <c r="CG23" s="913"/>
      <c r="CH23" s="913"/>
      <c r="CI23" s="913"/>
      <c r="CJ23" s="913"/>
      <c r="CK23" s="914"/>
      <c r="CL23" s="1"/>
      <c r="CM23" s="72"/>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70"/>
      <c r="ES23" s="70"/>
      <c r="ET23" s="70"/>
      <c r="EU23" s="70"/>
      <c r="EV23" s="70"/>
      <c r="EW23" s="70"/>
      <c r="EX23" s="70"/>
      <c r="EY23" s="70"/>
      <c r="EZ23" s="70"/>
      <c r="FA23" s="70"/>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row>
    <row r="24" spans="2:190" s="68" customFormat="1" ht="20.100000000000001" hidden="1" customHeight="1" x14ac:dyDescent="0.2">
      <c r="B24" s="915" t="s">
        <v>299</v>
      </c>
      <c r="C24" s="915"/>
      <c r="D24" s="915"/>
      <c r="E24" s="915"/>
      <c r="F24" s="915"/>
      <c r="G24" s="915"/>
      <c r="H24" s="915"/>
      <c r="I24" s="915"/>
      <c r="J24" s="915"/>
      <c r="K24" s="915"/>
      <c r="L24" s="915"/>
      <c r="M24" s="916"/>
      <c r="N24" s="81"/>
      <c r="O24" s="963"/>
      <c r="P24" s="924"/>
      <c r="Q24" s="924"/>
      <c r="R24" s="924"/>
      <c r="S24" s="924"/>
      <c r="T24" s="924"/>
      <c r="U24" s="924"/>
      <c r="V24" s="924"/>
      <c r="W24" s="924"/>
      <c r="X24" s="924">
        <f>(CRIANÇA!R28+CRIANÇA!R29)*CRIANÇA!V44</f>
        <v>260.89049999999997</v>
      </c>
      <c r="Y24" s="924"/>
      <c r="Z24" s="924"/>
      <c r="AA24" s="924"/>
      <c r="AB24" s="924"/>
      <c r="AC24" s="924"/>
      <c r="AD24" s="924"/>
      <c r="AE24" s="924"/>
      <c r="AF24" s="962"/>
      <c r="AG24" s="70"/>
      <c r="AH24" s="963"/>
      <c r="AI24" s="924"/>
      <c r="AJ24" s="924"/>
      <c r="AK24" s="924"/>
      <c r="AL24" s="924"/>
      <c r="AM24" s="924"/>
      <c r="AN24" s="924"/>
      <c r="AO24" s="924"/>
      <c r="AP24" s="924"/>
      <c r="AQ24" s="924">
        <f>SUM(CRIANÇA!R28:U29)*CRIANÇA!V43</f>
        <v>260.89049999999997</v>
      </c>
      <c r="AR24" s="924"/>
      <c r="AS24" s="924"/>
      <c r="AT24" s="924"/>
      <c r="AU24" s="924"/>
      <c r="AV24" s="924"/>
      <c r="AW24" s="924"/>
      <c r="AX24" s="924"/>
      <c r="AY24" s="924"/>
      <c r="AZ24" s="924"/>
      <c r="BA24" s="924"/>
      <c r="BB24" s="924"/>
      <c r="BC24" s="924"/>
      <c r="BD24" s="924"/>
      <c r="BE24" s="924"/>
      <c r="BF24" s="924"/>
      <c r="BG24" s="924"/>
      <c r="BH24" s="924"/>
      <c r="BI24" s="79"/>
      <c r="BJ24" s="924"/>
      <c r="BK24" s="924"/>
      <c r="BL24" s="924"/>
      <c r="BM24" s="924"/>
      <c r="BN24" s="924"/>
      <c r="BO24" s="924"/>
      <c r="BP24" s="924"/>
      <c r="BQ24" s="924"/>
      <c r="BR24" s="924"/>
      <c r="BS24" s="924"/>
      <c r="BT24" s="924"/>
      <c r="BU24" s="924"/>
      <c r="BV24" s="924"/>
      <c r="BW24" s="924"/>
      <c r="BX24" s="924"/>
      <c r="BY24" s="924"/>
      <c r="BZ24" s="924"/>
      <c r="CA24" s="962"/>
      <c r="CB24" s="70"/>
      <c r="CC24" s="963"/>
      <c r="CD24" s="924"/>
      <c r="CE24" s="924"/>
      <c r="CF24" s="924"/>
      <c r="CG24" s="924"/>
      <c r="CH24" s="924"/>
      <c r="CI24" s="924"/>
      <c r="CJ24" s="924"/>
      <c r="CK24" s="962"/>
      <c r="CL24" s="1"/>
      <c r="CM24" s="72"/>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70"/>
      <c r="ES24" s="70"/>
      <c r="ET24" s="70"/>
      <c r="EU24" s="70"/>
      <c r="EV24" s="70"/>
      <c r="EW24" s="70"/>
      <c r="EX24" s="70"/>
      <c r="EY24" s="70"/>
      <c r="EZ24" s="70"/>
      <c r="FA24" s="70"/>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row>
    <row r="25" spans="2:190" s="68" customFormat="1" ht="20.100000000000001" hidden="1" customHeight="1" x14ac:dyDescent="0.2">
      <c r="B25" s="921" t="s">
        <v>97</v>
      </c>
      <c r="C25" s="921"/>
      <c r="D25" s="921"/>
      <c r="E25" s="921"/>
      <c r="F25" s="921"/>
      <c r="G25" s="921"/>
      <c r="H25" s="921"/>
      <c r="I25" s="921"/>
      <c r="J25" s="921"/>
      <c r="K25" s="921"/>
      <c r="L25" s="921"/>
      <c r="M25" s="922"/>
      <c r="N25" s="81"/>
      <c r="O25" s="919"/>
      <c r="P25" s="920"/>
      <c r="Q25" s="920"/>
      <c r="R25" s="920"/>
      <c r="S25" s="920"/>
      <c r="T25" s="920"/>
      <c r="U25" s="920"/>
      <c r="V25" s="920"/>
      <c r="W25" s="920"/>
      <c r="X25" s="920">
        <f>SUM(CRIANÇA!V28:Y29)*CRIANÇA!V44</f>
        <v>50.399999999999991</v>
      </c>
      <c r="Y25" s="920"/>
      <c r="Z25" s="920"/>
      <c r="AA25" s="920"/>
      <c r="AB25" s="920"/>
      <c r="AC25" s="920"/>
      <c r="AD25" s="920"/>
      <c r="AE25" s="920"/>
      <c r="AF25" s="925"/>
      <c r="AG25" s="70"/>
      <c r="AH25" s="919"/>
      <c r="AI25" s="920"/>
      <c r="AJ25" s="920"/>
      <c r="AK25" s="920"/>
      <c r="AL25" s="920"/>
      <c r="AM25" s="920"/>
      <c r="AN25" s="920"/>
      <c r="AO25" s="920"/>
      <c r="AP25" s="920"/>
      <c r="AQ25" s="920">
        <f>SUM(CRIANÇA!V28:Y29)*CRIANÇA!V43</f>
        <v>50.399999999999991</v>
      </c>
      <c r="AR25" s="920"/>
      <c r="AS25" s="920"/>
      <c r="AT25" s="920"/>
      <c r="AU25" s="920"/>
      <c r="AV25" s="920"/>
      <c r="AW25" s="920"/>
      <c r="AX25" s="920"/>
      <c r="AY25" s="920"/>
      <c r="AZ25" s="920"/>
      <c r="BA25" s="920"/>
      <c r="BB25" s="920"/>
      <c r="BC25" s="920"/>
      <c r="BD25" s="920"/>
      <c r="BE25" s="920"/>
      <c r="BF25" s="920"/>
      <c r="BG25" s="920"/>
      <c r="BH25" s="920"/>
      <c r="BI25" s="79"/>
      <c r="BJ25" s="920"/>
      <c r="BK25" s="920"/>
      <c r="BL25" s="920"/>
      <c r="BM25" s="920"/>
      <c r="BN25" s="920"/>
      <c r="BO25" s="920"/>
      <c r="BP25" s="920"/>
      <c r="BQ25" s="920"/>
      <c r="BR25" s="920"/>
      <c r="BS25" s="920"/>
      <c r="BT25" s="920"/>
      <c r="BU25" s="920"/>
      <c r="BV25" s="920"/>
      <c r="BW25" s="920"/>
      <c r="BX25" s="920"/>
      <c r="BY25" s="920"/>
      <c r="BZ25" s="920"/>
      <c r="CA25" s="925"/>
      <c r="CB25" s="70"/>
      <c r="CC25" s="919"/>
      <c r="CD25" s="920"/>
      <c r="CE25" s="920"/>
      <c r="CF25" s="920"/>
      <c r="CG25" s="920"/>
      <c r="CH25" s="920"/>
      <c r="CI25" s="920"/>
      <c r="CJ25" s="920"/>
      <c r="CK25" s="925"/>
      <c r="CL25" s="1"/>
      <c r="CM25" s="72"/>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70"/>
      <c r="ES25" s="70"/>
      <c r="ET25" s="70"/>
      <c r="EU25" s="70"/>
      <c r="EV25" s="70"/>
      <c r="EW25" s="70"/>
      <c r="EX25" s="70"/>
      <c r="EY25" s="70"/>
      <c r="EZ25" s="70"/>
      <c r="FA25" s="70"/>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row>
    <row r="26" spans="2:190" ht="20.100000000000001" hidden="1" customHeight="1" x14ac:dyDescent="0.25">
      <c r="B26" s="83"/>
      <c r="C26" s="83"/>
      <c r="D26" s="83"/>
      <c r="E26" s="83"/>
      <c r="F26" s="83"/>
      <c r="G26" s="83"/>
      <c r="H26" s="83"/>
      <c r="I26" s="83"/>
      <c r="J26" s="83"/>
      <c r="K26" s="83"/>
      <c r="L26" s="83"/>
      <c r="M26" s="84"/>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6"/>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68"/>
      <c r="DY26" s="85"/>
      <c r="DZ26" s="85"/>
      <c r="EA26" s="85"/>
    </row>
    <row r="27" spans="2:190" s="68" customFormat="1" ht="20.100000000000001" hidden="1" customHeight="1" x14ac:dyDescent="0.2">
      <c r="B27" s="1001" t="s">
        <v>425</v>
      </c>
      <c r="C27" s="1001"/>
      <c r="D27" s="1001"/>
      <c r="E27" s="1001"/>
      <c r="F27" s="1001"/>
      <c r="G27" s="1001"/>
      <c r="H27" s="1001"/>
      <c r="I27" s="1001"/>
      <c r="J27" s="1001"/>
      <c r="K27" s="1001"/>
      <c r="L27" s="1001"/>
      <c r="M27" s="1001"/>
      <c r="N27" s="1001"/>
      <c r="O27" s="1001"/>
      <c r="P27" s="1001"/>
      <c r="Q27" s="1001"/>
      <c r="R27" s="1001"/>
      <c r="S27" s="1001"/>
      <c r="T27" s="1001"/>
      <c r="U27" s="1001"/>
      <c r="V27" s="1001"/>
      <c r="W27" s="1001"/>
      <c r="X27" s="961"/>
      <c r="Y27" s="961"/>
      <c r="Z27" s="961"/>
      <c r="AA27" s="961"/>
      <c r="AB27" s="961"/>
      <c r="AC27" s="961"/>
      <c r="AD27" s="961"/>
      <c r="AE27" s="961"/>
      <c r="AF27" s="961"/>
      <c r="AG27" s="70"/>
      <c r="AH27" s="961"/>
      <c r="AI27" s="961"/>
      <c r="AJ27" s="961"/>
      <c r="AK27" s="961"/>
      <c r="AL27" s="961"/>
      <c r="AM27" s="961"/>
      <c r="AN27" s="961"/>
      <c r="AO27" s="961"/>
      <c r="AP27" s="961"/>
      <c r="AQ27" s="961"/>
      <c r="AR27" s="961"/>
      <c r="AS27" s="961"/>
      <c r="AT27" s="961"/>
      <c r="AU27" s="961"/>
      <c r="AV27" s="961"/>
      <c r="AW27" s="961"/>
      <c r="AX27" s="961"/>
      <c r="AY27" s="961"/>
      <c r="AZ27" s="961"/>
      <c r="BA27" s="961"/>
      <c r="BB27" s="961"/>
      <c r="BC27" s="961"/>
      <c r="BD27" s="961"/>
      <c r="BE27" s="961"/>
      <c r="BF27" s="961"/>
      <c r="BG27" s="961"/>
      <c r="BH27" s="961"/>
      <c r="BI27" s="70"/>
      <c r="BJ27" s="961"/>
      <c r="BK27" s="961"/>
      <c r="BL27" s="961"/>
      <c r="BM27" s="961"/>
      <c r="BN27" s="961"/>
      <c r="BO27" s="961"/>
      <c r="BP27" s="961"/>
      <c r="BQ27" s="961"/>
      <c r="BR27" s="961"/>
      <c r="BS27" s="961"/>
      <c r="BT27" s="961"/>
      <c r="BU27" s="961"/>
      <c r="BV27" s="961"/>
      <c r="BW27" s="961"/>
      <c r="BX27" s="961"/>
      <c r="BY27" s="961"/>
      <c r="BZ27" s="961"/>
      <c r="CA27" s="961"/>
      <c r="CB27" s="70"/>
      <c r="CC27" s="961"/>
      <c r="CD27" s="961"/>
      <c r="CE27" s="961"/>
      <c r="CF27" s="961"/>
      <c r="CG27" s="961"/>
      <c r="CH27" s="961"/>
      <c r="CI27" s="961"/>
      <c r="CJ27" s="961"/>
      <c r="CK27" s="961"/>
      <c r="CL27" s="1"/>
      <c r="CM27" s="72"/>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70"/>
      <c r="ES27" s="70"/>
      <c r="ET27" s="70"/>
      <c r="EU27" s="70"/>
      <c r="EV27" s="70"/>
      <c r="EW27" s="70"/>
      <c r="EX27" s="70"/>
      <c r="EY27" s="70"/>
      <c r="EZ27" s="70"/>
      <c r="FA27" s="70"/>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row>
    <row r="28" spans="2:190" s="68" customFormat="1" ht="20.100000000000001" hidden="1" customHeight="1" x14ac:dyDescent="0.2">
      <c r="B28" s="917" t="s">
        <v>13</v>
      </c>
      <c r="C28" s="917"/>
      <c r="D28" s="917"/>
      <c r="E28" s="917"/>
      <c r="F28" s="917"/>
      <c r="G28" s="917"/>
      <c r="H28" s="917"/>
      <c r="I28" s="917"/>
      <c r="J28" s="917"/>
      <c r="K28" s="917"/>
      <c r="L28" s="917"/>
      <c r="M28" s="918"/>
      <c r="N28" s="81"/>
      <c r="O28" s="923">
        <f>(CRIANÇA!N30+CRIANÇA!N31)*CRIANÇA!V41</f>
        <v>283.7</v>
      </c>
      <c r="P28" s="913"/>
      <c r="Q28" s="913"/>
      <c r="R28" s="913"/>
      <c r="S28" s="913"/>
      <c r="T28" s="913"/>
      <c r="U28" s="913"/>
      <c r="V28" s="913"/>
      <c r="W28" s="913"/>
      <c r="X28" s="913"/>
      <c r="Y28" s="913"/>
      <c r="Z28" s="913"/>
      <c r="AA28" s="913"/>
      <c r="AB28" s="913"/>
      <c r="AC28" s="913"/>
      <c r="AD28" s="913"/>
      <c r="AE28" s="913"/>
      <c r="AF28" s="914"/>
      <c r="AG28" s="70"/>
      <c r="AH28" s="923">
        <f>(CRIANÇA!N30+CRIANÇA!N31)*CRIANÇA!V41</f>
        <v>283.7</v>
      </c>
      <c r="AI28" s="913"/>
      <c r="AJ28" s="913"/>
      <c r="AK28" s="913"/>
      <c r="AL28" s="913"/>
      <c r="AM28" s="913"/>
      <c r="AN28" s="913"/>
      <c r="AO28" s="913"/>
      <c r="AP28" s="913"/>
      <c r="AQ28" s="913"/>
      <c r="AR28" s="913"/>
      <c r="AS28" s="913"/>
      <c r="AT28" s="913"/>
      <c r="AU28" s="913"/>
      <c r="AV28" s="913"/>
      <c r="AW28" s="913"/>
      <c r="AX28" s="913"/>
      <c r="AY28" s="913"/>
      <c r="AZ28" s="913"/>
      <c r="BA28" s="913"/>
      <c r="BB28" s="913"/>
      <c r="BC28" s="913"/>
      <c r="BD28" s="913"/>
      <c r="BE28" s="913"/>
      <c r="BF28" s="913"/>
      <c r="BG28" s="913"/>
      <c r="BH28" s="913"/>
      <c r="BI28" s="79"/>
      <c r="BJ28" s="913"/>
      <c r="BK28" s="913"/>
      <c r="BL28" s="913"/>
      <c r="BM28" s="913"/>
      <c r="BN28" s="913"/>
      <c r="BO28" s="913"/>
      <c r="BP28" s="913"/>
      <c r="BQ28" s="913"/>
      <c r="BR28" s="913"/>
      <c r="BS28" s="913">
        <f>SUM(CRIANÇA!N30:Q31)*CRIANÇA!V52/TUTORIAL!V143</f>
        <v>28.369999999999997</v>
      </c>
      <c r="BT28" s="913"/>
      <c r="BU28" s="913"/>
      <c r="BV28" s="913"/>
      <c r="BW28" s="913"/>
      <c r="BX28" s="913"/>
      <c r="BY28" s="913"/>
      <c r="BZ28" s="913"/>
      <c r="CA28" s="914"/>
      <c r="CB28" s="70"/>
      <c r="CC28" s="923">
        <f>SUM(CRIANÇA!N30:Q31)*CRIANÇA!V55</f>
        <v>283.7</v>
      </c>
      <c r="CD28" s="913"/>
      <c r="CE28" s="913"/>
      <c r="CF28" s="913"/>
      <c r="CG28" s="913"/>
      <c r="CH28" s="913"/>
      <c r="CI28" s="913"/>
      <c r="CJ28" s="913"/>
      <c r="CK28" s="914"/>
      <c r="CL28" s="1"/>
      <c r="CM28" s="72"/>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70"/>
      <c r="ES28" s="70"/>
      <c r="ET28" s="70"/>
      <c r="EU28" s="70"/>
      <c r="EV28" s="70"/>
      <c r="EW28" s="70"/>
      <c r="EX28" s="70"/>
      <c r="EY28" s="70"/>
      <c r="EZ28" s="70"/>
      <c r="FA28" s="70"/>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row>
    <row r="29" spans="2:190" s="68" customFormat="1" ht="20.100000000000001" hidden="1" customHeight="1" x14ac:dyDescent="0.2">
      <c r="B29" s="915" t="s">
        <v>426</v>
      </c>
      <c r="C29" s="915"/>
      <c r="D29" s="915"/>
      <c r="E29" s="915"/>
      <c r="F29" s="915"/>
      <c r="G29" s="915"/>
      <c r="H29" s="915"/>
      <c r="I29" s="915"/>
      <c r="J29" s="915"/>
      <c r="K29" s="915"/>
      <c r="L29" s="915"/>
      <c r="M29" s="916"/>
      <c r="N29" s="81"/>
      <c r="O29" s="963"/>
      <c r="P29" s="924"/>
      <c r="Q29" s="924"/>
      <c r="R29" s="924"/>
      <c r="S29" s="924"/>
      <c r="T29" s="924"/>
      <c r="U29" s="924"/>
      <c r="V29" s="924"/>
      <c r="W29" s="924"/>
      <c r="X29" s="924">
        <f>SUM(CRIANÇA!R30:U31)*CRIANÇA!V49</f>
        <v>208.25</v>
      </c>
      <c r="Y29" s="924"/>
      <c r="Z29" s="924"/>
      <c r="AA29" s="924"/>
      <c r="AB29" s="924"/>
      <c r="AC29" s="924"/>
      <c r="AD29" s="924"/>
      <c r="AE29" s="924"/>
      <c r="AF29" s="962"/>
      <c r="AG29" s="70"/>
      <c r="AH29" s="963"/>
      <c r="AI29" s="924"/>
      <c r="AJ29" s="924"/>
      <c r="AK29" s="924"/>
      <c r="AL29" s="924"/>
      <c r="AM29" s="924"/>
      <c r="AN29" s="924"/>
      <c r="AO29" s="924"/>
      <c r="AP29" s="924"/>
      <c r="AQ29" s="924">
        <f>SUM(CRIANÇA!R30:U31)*CRIANÇA!V48</f>
        <v>208.25</v>
      </c>
      <c r="AR29" s="924"/>
      <c r="AS29" s="924"/>
      <c r="AT29" s="924"/>
      <c r="AU29" s="924"/>
      <c r="AV29" s="924"/>
      <c r="AW29" s="924"/>
      <c r="AX29" s="924"/>
      <c r="AY29" s="924"/>
      <c r="AZ29" s="924"/>
      <c r="BA29" s="924"/>
      <c r="BB29" s="924"/>
      <c r="BC29" s="924"/>
      <c r="BD29" s="924"/>
      <c r="BE29" s="924"/>
      <c r="BF29" s="924"/>
      <c r="BG29" s="924"/>
      <c r="BH29" s="924"/>
      <c r="BI29" s="79"/>
      <c r="BJ29" s="924"/>
      <c r="BK29" s="924"/>
      <c r="BL29" s="924"/>
      <c r="BM29" s="924"/>
      <c r="BN29" s="924"/>
      <c r="BO29" s="924"/>
      <c r="BP29" s="924"/>
      <c r="BQ29" s="924"/>
      <c r="BR29" s="924"/>
      <c r="BS29" s="924"/>
      <c r="BT29" s="924"/>
      <c r="BU29" s="924"/>
      <c r="BV29" s="924"/>
      <c r="BW29" s="924"/>
      <c r="BX29" s="924"/>
      <c r="BY29" s="924"/>
      <c r="BZ29" s="924"/>
      <c r="CA29" s="962"/>
      <c r="CB29" s="70"/>
      <c r="CC29" s="963"/>
      <c r="CD29" s="924"/>
      <c r="CE29" s="924"/>
      <c r="CF29" s="924"/>
      <c r="CG29" s="924"/>
      <c r="CH29" s="924"/>
      <c r="CI29" s="924"/>
      <c r="CJ29" s="924"/>
      <c r="CK29" s="962"/>
      <c r="CL29" s="1"/>
      <c r="CM29" s="72"/>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70"/>
      <c r="ES29" s="70"/>
      <c r="ET29" s="70"/>
      <c r="EU29" s="70"/>
      <c r="EV29" s="70"/>
      <c r="EW29" s="70"/>
      <c r="EX29" s="70"/>
      <c r="EY29" s="70"/>
      <c r="EZ29" s="70"/>
      <c r="FA29" s="70"/>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row>
    <row r="30" spans="2:190" s="68" customFormat="1" ht="20.100000000000001" hidden="1" customHeight="1" x14ac:dyDescent="0.2">
      <c r="B30" s="921" t="s">
        <v>97</v>
      </c>
      <c r="C30" s="921"/>
      <c r="D30" s="921"/>
      <c r="E30" s="921"/>
      <c r="F30" s="921"/>
      <c r="G30" s="921"/>
      <c r="H30" s="921"/>
      <c r="I30" s="921"/>
      <c r="J30" s="921"/>
      <c r="K30" s="921"/>
      <c r="L30" s="921"/>
      <c r="M30" s="922"/>
      <c r="N30" s="81"/>
      <c r="O30" s="919"/>
      <c r="P30" s="920"/>
      <c r="Q30" s="920"/>
      <c r="R30" s="920"/>
      <c r="S30" s="920"/>
      <c r="T30" s="920"/>
      <c r="U30" s="920"/>
      <c r="V30" s="920"/>
      <c r="W30" s="920"/>
      <c r="X30" s="920">
        <f>SUM(CRIANÇA!V30:Y31)*CRIANÇA!V51</f>
        <v>75.45</v>
      </c>
      <c r="Y30" s="920"/>
      <c r="Z30" s="920"/>
      <c r="AA30" s="920"/>
      <c r="AB30" s="920"/>
      <c r="AC30" s="920"/>
      <c r="AD30" s="920"/>
      <c r="AE30" s="920"/>
      <c r="AF30" s="925"/>
      <c r="AG30" s="70"/>
      <c r="AH30" s="919"/>
      <c r="AI30" s="920"/>
      <c r="AJ30" s="920"/>
      <c r="AK30" s="920"/>
      <c r="AL30" s="920"/>
      <c r="AM30" s="920"/>
      <c r="AN30" s="920"/>
      <c r="AO30" s="920"/>
      <c r="AP30" s="920"/>
      <c r="AQ30" s="920">
        <f>SUM(CRIANÇA!V30:Y31)*CRIANÇA!V50</f>
        <v>150.9</v>
      </c>
      <c r="AR30" s="920"/>
      <c r="AS30" s="920"/>
      <c r="AT30" s="920"/>
      <c r="AU30" s="920"/>
      <c r="AV30" s="920"/>
      <c r="AW30" s="920"/>
      <c r="AX30" s="920"/>
      <c r="AY30" s="920"/>
      <c r="AZ30" s="920"/>
      <c r="BA30" s="920"/>
      <c r="BB30" s="920"/>
      <c r="BC30" s="920"/>
      <c r="BD30" s="920"/>
      <c r="BE30" s="920"/>
      <c r="BF30" s="920"/>
      <c r="BG30" s="920"/>
      <c r="BH30" s="920"/>
      <c r="BI30" s="79"/>
      <c r="BJ30" s="920">
        <f>(CRIANÇA!V30+CRIANÇA!V31)*CRIANÇA!V54</f>
        <v>905.40000000000009</v>
      </c>
      <c r="BK30" s="920"/>
      <c r="BL30" s="920"/>
      <c r="BM30" s="920"/>
      <c r="BN30" s="920"/>
      <c r="BO30" s="920"/>
      <c r="BP30" s="920"/>
      <c r="BQ30" s="920"/>
      <c r="BR30" s="920"/>
      <c r="BS30" s="920"/>
      <c r="BT30" s="920"/>
      <c r="BU30" s="920"/>
      <c r="BV30" s="920"/>
      <c r="BW30" s="920"/>
      <c r="BX30" s="920"/>
      <c r="BY30" s="920"/>
      <c r="BZ30" s="920"/>
      <c r="CA30" s="925"/>
      <c r="CB30" s="70"/>
      <c r="CC30" s="919"/>
      <c r="CD30" s="920"/>
      <c r="CE30" s="920"/>
      <c r="CF30" s="920"/>
      <c r="CG30" s="920"/>
      <c r="CH30" s="920"/>
      <c r="CI30" s="920"/>
      <c r="CJ30" s="920"/>
      <c r="CK30" s="925"/>
      <c r="CL30" s="1"/>
      <c r="CM30" s="72"/>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70"/>
      <c r="ES30" s="70"/>
      <c r="ET30" s="70"/>
      <c r="EU30" s="70"/>
      <c r="EV30" s="70"/>
      <c r="EW30" s="70"/>
      <c r="EX30" s="70"/>
      <c r="EY30" s="70"/>
      <c r="EZ30" s="70"/>
      <c r="FA30" s="70"/>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row>
    <row r="31" spans="2:190" ht="20.100000000000001" hidden="1" customHeight="1" x14ac:dyDescent="0.25">
      <c r="B31" s="83"/>
      <c r="C31" s="83"/>
      <c r="D31" s="83"/>
      <c r="E31" s="83"/>
      <c r="F31" s="83"/>
      <c r="G31" s="83"/>
      <c r="H31" s="83"/>
      <c r="I31" s="83"/>
      <c r="J31" s="83"/>
      <c r="K31" s="83"/>
      <c r="L31" s="83"/>
      <c r="M31" s="84"/>
      <c r="N31" s="85"/>
      <c r="O31" s="85"/>
      <c r="P31" s="85"/>
      <c r="Q31" s="85"/>
      <c r="R31" s="85"/>
      <c r="S31" s="85"/>
      <c r="T31" s="85"/>
      <c r="U31" s="85"/>
      <c r="V31" s="85"/>
      <c r="W31" s="85"/>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6"/>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68"/>
      <c r="DY31" s="85"/>
      <c r="DZ31" s="85"/>
      <c r="EA31" s="85"/>
    </row>
    <row r="32" spans="2:190" s="68" customFormat="1" ht="20.100000000000001" customHeight="1" x14ac:dyDescent="0.2">
      <c r="B32" s="891" t="s">
        <v>7</v>
      </c>
      <c r="C32" s="891"/>
      <c r="D32" s="891"/>
      <c r="E32" s="891"/>
      <c r="F32" s="891"/>
      <c r="G32" s="891"/>
      <c r="H32" s="891"/>
      <c r="I32" s="891"/>
      <c r="J32" s="891"/>
      <c r="K32" s="891"/>
      <c r="L32" s="891"/>
      <c r="M32" s="891"/>
      <c r="N32" s="81"/>
      <c r="O32" s="892">
        <f>SUM(O23:W25,O28:W30)</f>
        <v>387.46349999999995</v>
      </c>
      <c r="P32" s="892"/>
      <c r="Q32" s="892"/>
      <c r="R32" s="892"/>
      <c r="S32" s="892"/>
      <c r="T32" s="892"/>
      <c r="U32" s="892"/>
      <c r="V32" s="892"/>
      <c r="W32" s="892"/>
      <c r="X32" s="892">
        <f>SUM(X23:AF25,X28:AF30)</f>
        <v>594.9905</v>
      </c>
      <c r="Y32" s="892"/>
      <c r="Z32" s="892"/>
      <c r="AA32" s="892"/>
      <c r="AB32" s="892"/>
      <c r="AC32" s="892"/>
      <c r="AD32" s="892"/>
      <c r="AE32" s="892"/>
      <c r="AF32" s="892"/>
      <c r="AG32" s="70"/>
      <c r="AH32" s="892">
        <f>SUM(AH23:AP25,AH28:AP30)</f>
        <v>387.46349999999995</v>
      </c>
      <c r="AI32" s="892"/>
      <c r="AJ32" s="892"/>
      <c r="AK32" s="892"/>
      <c r="AL32" s="892"/>
      <c r="AM32" s="892"/>
      <c r="AN32" s="892"/>
      <c r="AO32" s="892"/>
      <c r="AP32" s="892"/>
      <c r="AQ32" s="892">
        <f>SUM(AQ23:AY25,AQ28:AY30)</f>
        <v>670.44049999999993</v>
      </c>
      <c r="AR32" s="892"/>
      <c r="AS32" s="892"/>
      <c r="AT32" s="892"/>
      <c r="AU32" s="892"/>
      <c r="AV32" s="892"/>
      <c r="AW32" s="892"/>
      <c r="AX32" s="892"/>
      <c r="AY32" s="892"/>
      <c r="AZ32" s="892">
        <f>SUM(AZ23:BH25,AZ28:BH30)</f>
        <v>0</v>
      </c>
      <c r="BA32" s="892"/>
      <c r="BB32" s="892"/>
      <c r="BC32" s="892"/>
      <c r="BD32" s="892"/>
      <c r="BE32" s="892"/>
      <c r="BF32" s="892"/>
      <c r="BG32" s="892"/>
      <c r="BH32" s="892"/>
      <c r="BI32" s="70"/>
      <c r="BJ32" s="892">
        <f>SUM(BJ23:BR25,BJ28:BR30)</f>
        <v>2150.5619999999999</v>
      </c>
      <c r="BK32" s="892"/>
      <c r="BL32" s="892"/>
      <c r="BM32" s="892"/>
      <c r="BN32" s="892"/>
      <c r="BO32" s="892"/>
      <c r="BP32" s="892"/>
      <c r="BQ32" s="892"/>
      <c r="BR32" s="892"/>
      <c r="BS32" s="892">
        <f>SUM(BS23:CA25,BS28:CA30)</f>
        <v>49.122699999999995</v>
      </c>
      <c r="BT32" s="892"/>
      <c r="BU32" s="892"/>
      <c r="BV32" s="892"/>
      <c r="BW32" s="892"/>
      <c r="BX32" s="892"/>
      <c r="BY32" s="892"/>
      <c r="BZ32" s="892"/>
      <c r="CA32" s="892"/>
      <c r="CB32" s="70"/>
      <c r="CC32" s="892">
        <f>SUM(CC23:CK25,CC28:CK30)</f>
        <v>491.22699999999998</v>
      </c>
      <c r="CD32" s="892"/>
      <c r="CE32" s="892"/>
      <c r="CF32" s="892"/>
      <c r="CG32" s="892"/>
      <c r="CH32" s="892"/>
      <c r="CI32" s="892"/>
      <c r="CJ32" s="892"/>
      <c r="CK32" s="892"/>
      <c r="CL32" s="69"/>
      <c r="CM32" s="72"/>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70"/>
      <c r="ES32" s="70"/>
      <c r="ET32" s="70"/>
      <c r="EU32" s="70"/>
      <c r="EV32" s="70"/>
      <c r="EW32" s="70"/>
      <c r="EX32" s="70"/>
      <c r="EY32" s="70"/>
      <c r="EZ32" s="70"/>
      <c r="FA32" s="70"/>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row>
    <row r="33" spans="2:190" s="68" customFormat="1" ht="7.5" customHeight="1" x14ac:dyDescent="0.2">
      <c r="B33" s="87"/>
      <c r="C33" s="87"/>
      <c r="D33" s="87"/>
      <c r="E33" s="87"/>
      <c r="F33" s="87"/>
      <c r="G33" s="87"/>
      <c r="H33" s="87"/>
      <c r="I33" s="87"/>
      <c r="J33" s="87"/>
      <c r="K33" s="87"/>
      <c r="L33" s="87"/>
      <c r="M33" s="87"/>
      <c r="O33" s="47"/>
      <c r="P33" s="47"/>
      <c r="Q33" s="47"/>
      <c r="R33" s="47"/>
      <c r="S33" s="47"/>
      <c r="T33" s="47"/>
      <c r="U33" s="47"/>
      <c r="V33" s="47"/>
      <c r="W33" s="47"/>
      <c r="X33" s="47"/>
      <c r="Y33" s="47"/>
      <c r="Z33" s="47"/>
      <c r="AA33" s="47"/>
      <c r="AB33" s="47"/>
      <c r="AC33" s="47"/>
      <c r="AD33" s="47"/>
      <c r="AE33" s="47"/>
      <c r="AF33" s="47"/>
      <c r="AG33" s="70"/>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70"/>
      <c r="CC33" s="47"/>
      <c r="CD33" s="47"/>
      <c r="CE33" s="47"/>
      <c r="CF33" s="47"/>
      <c r="CG33" s="47"/>
      <c r="CH33" s="47"/>
      <c r="CI33" s="47"/>
      <c r="CJ33" s="47"/>
      <c r="CK33" s="47"/>
      <c r="CL33" s="1"/>
      <c r="CM33" s="72"/>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row>
    <row r="34" spans="2:190" s="68" customFormat="1" ht="20.100000000000001" hidden="1" customHeight="1" x14ac:dyDescent="0.2">
      <c r="B34" s="1002" t="s">
        <v>61</v>
      </c>
      <c r="C34" s="1002"/>
      <c r="D34" s="1002"/>
      <c r="E34" s="1002"/>
      <c r="F34" s="1002"/>
      <c r="G34" s="1002"/>
      <c r="H34" s="1002"/>
      <c r="I34" s="1002"/>
      <c r="J34" s="1002"/>
      <c r="K34" s="1002"/>
      <c r="L34" s="1002"/>
      <c r="M34" s="1002"/>
      <c r="N34" s="78"/>
      <c r="O34" s="961"/>
      <c r="P34" s="961"/>
      <c r="Q34" s="961"/>
      <c r="R34" s="961"/>
      <c r="S34" s="961"/>
      <c r="T34" s="961"/>
      <c r="U34" s="961"/>
      <c r="V34" s="961"/>
      <c r="W34" s="961"/>
      <c r="X34" s="961"/>
      <c r="Y34" s="961"/>
      <c r="Z34" s="961"/>
      <c r="AA34" s="961"/>
      <c r="AB34" s="961"/>
      <c r="AC34" s="961"/>
      <c r="AD34" s="961"/>
      <c r="AE34" s="961"/>
      <c r="AF34" s="961"/>
      <c r="AG34" s="70"/>
      <c r="AH34" s="961"/>
      <c r="AI34" s="961"/>
      <c r="AJ34" s="961"/>
      <c r="AK34" s="961"/>
      <c r="AL34" s="961"/>
      <c r="AM34" s="961"/>
      <c r="AN34" s="961"/>
      <c r="AO34" s="961"/>
      <c r="AP34" s="961"/>
      <c r="AQ34" s="961"/>
      <c r="AR34" s="961"/>
      <c r="AS34" s="961"/>
      <c r="AT34" s="961"/>
      <c r="AU34" s="961"/>
      <c r="AV34" s="961"/>
      <c r="AW34" s="961"/>
      <c r="AX34" s="961"/>
      <c r="AY34" s="961"/>
      <c r="AZ34" s="961"/>
      <c r="BA34" s="961"/>
      <c r="BB34" s="961"/>
      <c r="BC34" s="961"/>
      <c r="BD34" s="961"/>
      <c r="BE34" s="961"/>
      <c r="BF34" s="961"/>
      <c r="BG34" s="961"/>
      <c r="BH34" s="961"/>
      <c r="BI34" s="70"/>
      <c r="BJ34" s="961"/>
      <c r="BK34" s="961"/>
      <c r="BL34" s="961"/>
      <c r="BM34" s="961"/>
      <c r="BN34" s="961"/>
      <c r="BO34" s="961"/>
      <c r="BP34" s="961"/>
      <c r="BQ34" s="961"/>
      <c r="BR34" s="961"/>
      <c r="BS34" s="961"/>
      <c r="BT34" s="961"/>
      <c r="BU34" s="961"/>
      <c r="BV34" s="961"/>
      <c r="BW34" s="961"/>
      <c r="BX34" s="961"/>
      <c r="BY34" s="961"/>
      <c r="BZ34" s="961"/>
      <c r="CA34" s="961"/>
      <c r="CB34" s="70"/>
      <c r="CC34" s="961"/>
      <c r="CD34" s="961"/>
      <c r="CE34" s="961"/>
      <c r="CF34" s="961"/>
      <c r="CG34" s="961"/>
      <c r="CH34" s="961"/>
      <c r="CI34" s="961"/>
      <c r="CJ34" s="961"/>
      <c r="CK34" s="961"/>
      <c r="CL34" s="1"/>
      <c r="CM34" s="72"/>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70"/>
      <c r="ES34" s="70"/>
      <c r="ET34" s="70"/>
      <c r="EU34" s="70"/>
      <c r="EV34" s="70"/>
      <c r="EW34" s="70"/>
      <c r="EX34" s="70"/>
      <c r="EY34" s="70"/>
      <c r="EZ34" s="70"/>
      <c r="FA34" s="70"/>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row>
    <row r="35" spans="2:190" s="68" customFormat="1" ht="20.100000000000001" hidden="1" customHeight="1" x14ac:dyDescent="0.2">
      <c r="B35" s="917" t="s">
        <v>13</v>
      </c>
      <c r="C35" s="917"/>
      <c r="D35" s="917"/>
      <c r="E35" s="917"/>
      <c r="F35" s="917"/>
      <c r="G35" s="917"/>
      <c r="H35" s="917"/>
      <c r="I35" s="917"/>
      <c r="J35" s="917"/>
      <c r="K35" s="917"/>
      <c r="L35" s="917"/>
      <c r="M35" s="918"/>
      <c r="N35" s="81"/>
      <c r="O35" s="923">
        <f>(SUM(HIPERTENSO!AB23)*HIPERTENSO!V39)-O41</f>
        <v>198.198025</v>
      </c>
      <c r="P35" s="913"/>
      <c r="Q35" s="913"/>
      <c r="R35" s="913"/>
      <c r="S35" s="913"/>
      <c r="T35" s="913"/>
      <c r="U35" s="913"/>
      <c r="V35" s="913"/>
      <c r="W35" s="913"/>
      <c r="X35" s="913"/>
      <c r="Y35" s="913"/>
      <c r="Z35" s="913"/>
      <c r="AA35" s="913"/>
      <c r="AB35" s="913"/>
      <c r="AC35" s="913"/>
      <c r="AD35" s="913"/>
      <c r="AE35" s="913"/>
      <c r="AF35" s="914"/>
      <c r="AG35" s="70"/>
      <c r="AH35" s="923">
        <f>(SUM(HIPERTENSO!AB23:AD24)*HIPERTENSO!V38)-AH41</f>
        <v>268.32082500000001</v>
      </c>
      <c r="AI35" s="913"/>
      <c r="AJ35" s="913"/>
      <c r="AK35" s="913"/>
      <c r="AL35" s="913"/>
      <c r="AM35" s="913"/>
      <c r="AN35" s="913"/>
      <c r="AO35" s="913"/>
      <c r="AP35" s="913"/>
      <c r="AQ35" s="913"/>
      <c r="AR35" s="913"/>
      <c r="AS35" s="913"/>
      <c r="AT35" s="913"/>
      <c r="AU35" s="913"/>
      <c r="AV35" s="913"/>
      <c r="AW35" s="913"/>
      <c r="AX35" s="913"/>
      <c r="AY35" s="913"/>
      <c r="AZ35" s="913"/>
      <c r="BA35" s="913"/>
      <c r="BB35" s="913"/>
      <c r="BC35" s="913"/>
      <c r="BD35" s="913"/>
      <c r="BE35" s="913"/>
      <c r="BF35" s="913"/>
      <c r="BG35" s="913"/>
      <c r="BH35" s="913"/>
      <c r="BI35" s="79"/>
      <c r="BJ35" s="913"/>
      <c r="BK35" s="913"/>
      <c r="BL35" s="913"/>
      <c r="BM35" s="913"/>
      <c r="BN35" s="913"/>
      <c r="BO35" s="913"/>
      <c r="BP35" s="913"/>
      <c r="BQ35" s="913"/>
      <c r="BR35" s="913"/>
      <c r="BS35" s="913"/>
      <c r="BT35" s="913"/>
      <c r="BU35" s="913"/>
      <c r="BV35" s="913"/>
      <c r="BW35" s="913"/>
      <c r="BX35" s="913"/>
      <c r="BY35" s="913"/>
      <c r="BZ35" s="913"/>
      <c r="CA35" s="914"/>
      <c r="CB35" s="70"/>
      <c r="CC35" s="923">
        <f>(SUM(HIPERTENSO!AB23:AD24)*HIPERTENSO!V46)-CC41</f>
        <v>268.32082500000001</v>
      </c>
      <c r="CD35" s="913"/>
      <c r="CE35" s="913"/>
      <c r="CF35" s="913"/>
      <c r="CG35" s="913"/>
      <c r="CH35" s="913"/>
      <c r="CI35" s="913"/>
      <c r="CJ35" s="913"/>
      <c r="CK35" s="914"/>
      <c r="CL35" s="1"/>
      <c r="CM35" s="72"/>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70"/>
      <c r="ES35" s="70"/>
      <c r="ET35" s="70"/>
      <c r="EU35" s="70"/>
      <c r="EV35" s="70"/>
      <c r="EW35" s="70"/>
      <c r="EX35" s="70"/>
      <c r="EY35" s="70"/>
      <c r="EZ35" s="70"/>
      <c r="FA35" s="70"/>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row>
    <row r="36" spans="2:190" s="68" customFormat="1" ht="27.75" hidden="1" customHeight="1" x14ac:dyDescent="0.2">
      <c r="B36" s="915" t="s">
        <v>100</v>
      </c>
      <c r="C36" s="915"/>
      <c r="D36" s="915"/>
      <c r="E36" s="915"/>
      <c r="F36" s="915"/>
      <c r="G36" s="915"/>
      <c r="H36" s="915"/>
      <c r="I36" s="915"/>
      <c r="J36" s="915"/>
      <c r="K36" s="915" t="str">
        <f t="array" ref="K36">IDOSO!K31:W45</f>
        <v>Primeira avaliação: 1 consulta pelo enfermeiro e 1 consulta pelo médico, de forma sequencial e complementar.</v>
      </c>
      <c r="L36" s="915"/>
      <c r="M36" s="916"/>
      <c r="N36" s="81"/>
      <c r="O36" s="963"/>
      <c r="P36" s="924"/>
      <c r="Q36" s="924"/>
      <c r="R36" s="924"/>
      <c r="S36" s="924"/>
      <c r="T36" s="924"/>
      <c r="U36" s="924"/>
      <c r="V36" s="924"/>
      <c r="W36" s="924"/>
      <c r="X36" s="924">
        <f>(SUM(HIPERTENSO!V23:AA24)*HIPERTENSO!V41)-X42</f>
        <v>169.50592500000002</v>
      </c>
      <c r="Y36" s="924"/>
      <c r="Z36" s="924"/>
      <c r="AA36" s="924"/>
      <c r="AB36" s="924"/>
      <c r="AC36" s="924"/>
      <c r="AD36" s="924"/>
      <c r="AE36" s="924"/>
      <c r="AF36" s="962"/>
      <c r="AG36" s="70"/>
      <c r="AH36" s="963"/>
      <c r="AI36" s="924"/>
      <c r="AJ36" s="924"/>
      <c r="AK36" s="924"/>
      <c r="AL36" s="924"/>
      <c r="AM36" s="924"/>
      <c r="AN36" s="924"/>
      <c r="AO36" s="924"/>
      <c r="AP36" s="924"/>
      <c r="AQ36" s="924">
        <f>(SUM(HIPERTENSO!V23:AA24)*HIPERTENSO!V40)-AQ42</f>
        <v>169.50592500000002</v>
      </c>
      <c r="AR36" s="924"/>
      <c r="AS36" s="924"/>
      <c r="AT36" s="924"/>
      <c r="AU36" s="924"/>
      <c r="AV36" s="924"/>
      <c r="AW36" s="924"/>
      <c r="AX36" s="924"/>
      <c r="AY36" s="924"/>
      <c r="AZ36" s="924"/>
      <c r="BA36" s="924"/>
      <c r="BB36" s="924"/>
      <c r="BC36" s="924"/>
      <c r="BD36" s="924"/>
      <c r="BE36" s="924"/>
      <c r="BF36" s="924"/>
      <c r="BG36" s="924"/>
      <c r="BH36" s="924"/>
      <c r="BI36" s="79"/>
      <c r="BJ36" s="924"/>
      <c r="BK36" s="924"/>
      <c r="BL36" s="924"/>
      <c r="BM36" s="924"/>
      <c r="BN36" s="924"/>
      <c r="BO36" s="924"/>
      <c r="BP36" s="924"/>
      <c r="BQ36" s="924"/>
      <c r="BR36" s="924"/>
      <c r="BS36" s="924">
        <f>(SUM(HIPERTENSO!V23:AA24)*HIPERTENSO!V44/TUTORIAL!V143)-BS41</f>
        <v>22.248123750000001</v>
      </c>
      <c r="BT36" s="924"/>
      <c r="BU36" s="924"/>
      <c r="BV36" s="924"/>
      <c r="BW36" s="924"/>
      <c r="BX36" s="924"/>
      <c r="BY36" s="924"/>
      <c r="BZ36" s="924"/>
      <c r="CA36" s="962"/>
      <c r="CB36" s="70"/>
      <c r="CC36" s="963"/>
      <c r="CD36" s="924"/>
      <c r="CE36" s="924"/>
      <c r="CF36" s="924"/>
      <c r="CG36" s="924"/>
      <c r="CH36" s="924"/>
      <c r="CI36" s="924"/>
      <c r="CJ36" s="924"/>
      <c r="CK36" s="962"/>
      <c r="CL36" s="1"/>
      <c r="CM36" s="72"/>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70"/>
      <c r="ES36" s="70"/>
      <c r="ET36" s="70"/>
      <c r="EU36" s="70"/>
      <c r="EV36" s="70"/>
      <c r="EW36" s="70"/>
      <c r="EX36" s="70"/>
      <c r="EY36" s="70"/>
      <c r="EZ36" s="70"/>
      <c r="FA36" s="70"/>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row>
    <row r="37" spans="2:190" s="68" customFormat="1" ht="20.100000000000001" hidden="1" customHeight="1" x14ac:dyDescent="0.2">
      <c r="B37" s="921" t="s">
        <v>60</v>
      </c>
      <c r="C37" s="921"/>
      <c r="D37" s="921"/>
      <c r="E37" s="921"/>
      <c r="F37" s="921"/>
      <c r="G37" s="921"/>
      <c r="H37" s="921"/>
      <c r="I37" s="921"/>
      <c r="J37" s="921"/>
      <c r="K37" s="921"/>
      <c r="L37" s="921"/>
      <c r="M37" s="922"/>
      <c r="N37" s="81"/>
      <c r="O37" s="919"/>
      <c r="P37" s="920"/>
      <c r="Q37" s="920"/>
      <c r="R37" s="920"/>
      <c r="S37" s="920"/>
      <c r="T37" s="920"/>
      <c r="U37" s="920"/>
      <c r="V37" s="920"/>
      <c r="W37" s="920"/>
      <c r="X37" s="920">
        <f>(SUM(HIPERTENSO!S23:U24)*HIPERTENSO!V43)-X43</f>
        <v>197.62979999999999</v>
      </c>
      <c r="Y37" s="920"/>
      <c r="Z37" s="920"/>
      <c r="AA37" s="920"/>
      <c r="AB37" s="920"/>
      <c r="AC37" s="920"/>
      <c r="AD37" s="920"/>
      <c r="AE37" s="920"/>
      <c r="AF37" s="925"/>
      <c r="AG37" s="70"/>
      <c r="AH37" s="919"/>
      <c r="AI37" s="920"/>
      <c r="AJ37" s="920"/>
      <c r="AK37" s="920"/>
      <c r="AL37" s="920"/>
      <c r="AM37" s="920"/>
      <c r="AN37" s="920"/>
      <c r="AO37" s="920"/>
      <c r="AP37" s="920"/>
      <c r="AQ37" s="920">
        <f>(SUM(HIPERTENSO!S23:U24)*HIPERTENSO!V42)-AQ43</f>
        <v>197.62979999999999</v>
      </c>
      <c r="AR37" s="920"/>
      <c r="AS37" s="920"/>
      <c r="AT37" s="920"/>
      <c r="AU37" s="920"/>
      <c r="AV37" s="920"/>
      <c r="AW37" s="920"/>
      <c r="AX37" s="920"/>
      <c r="AY37" s="920"/>
      <c r="AZ37" s="920"/>
      <c r="BA37" s="920"/>
      <c r="BB37" s="920"/>
      <c r="BC37" s="920"/>
      <c r="BD37" s="920"/>
      <c r="BE37" s="920"/>
      <c r="BF37" s="920"/>
      <c r="BG37" s="920"/>
      <c r="BH37" s="920"/>
      <c r="BI37" s="79"/>
      <c r="BJ37" s="920">
        <f>((HIPERTENSO!S23+HIPERTENSO!S24)*HIPERTENSO!V45)-BJ43</f>
        <v>1185.7788</v>
      </c>
      <c r="BK37" s="920"/>
      <c r="BL37" s="920"/>
      <c r="BM37" s="920"/>
      <c r="BN37" s="920"/>
      <c r="BO37" s="920"/>
      <c r="BP37" s="920"/>
      <c r="BQ37" s="920"/>
      <c r="BR37" s="920"/>
      <c r="BS37" s="920">
        <f>SUM(HIPERTENSO!S23:U24)*HIPERTENSO!V44/TUTORIAL!V143</f>
        <v>18</v>
      </c>
      <c r="BT37" s="920"/>
      <c r="BU37" s="920"/>
      <c r="BV37" s="920"/>
      <c r="BW37" s="920"/>
      <c r="BX37" s="920"/>
      <c r="BY37" s="920"/>
      <c r="BZ37" s="920"/>
      <c r="CA37" s="925"/>
      <c r="CB37" s="70"/>
      <c r="CC37" s="919"/>
      <c r="CD37" s="920"/>
      <c r="CE37" s="920"/>
      <c r="CF37" s="920"/>
      <c r="CG37" s="920"/>
      <c r="CH37" s="920"/>
      <c r="CI37" s="920"/>
      <c r="CJ37" s="920"/>
      <c r="CK37" s="925"/>
      <c r="CL37" s="1"/>
      <c r="CM37" s="72"/>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70"/>
      <c r="ES37" s="70"/>
      <c r="ET37" s="70"/>
      <c r="EU37" s="70"/>
      <c r="EV37" s="70"/>
      <c r="EW37" s="70"/>
      <c r="EX37" s="70"/>
      <c r="EY37" s="70"/>
      <c r="EZ37" s="70"/>
      <c r="FA37" s="70"/>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row>
    <row r="38" spans="2:190" ht="20.100000000000001" hidden="1" customHeight="1" x14ac:dyDescent="0.25">
      <c r="B38" s="83"/>
      <c r="C38" s="83"/>
      <c r="D38" s="83"/>
      <c r="E38" s="83"/>
      <c r="F38" s="83"/>
      <c r="G38" s="83"/>
      <c r="H38" s="83"/>
      <c r="I38" s="83"/>
      <c r="J38" s="83"/>
      <c r="K38" s="83"/>
      <c r="L38" s="83"/>
      <c r="M38" s="84"/>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6"/>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68"/>
      <c r="DY38" s="85"/>
      <c r="DZ38" s="85"/>
      <c r="EA38" s="85"/>
    </row>
    <row r="39" spans="2:190" s="68" customFormat="1" ht="20.100000000000001" customHeight="1" x14ac:dyDescent="0.2">
      <c r="B39" s="998" t="s">
        <v>461</v>
      </c>
      <c r="C39" s="998"/>
      <c r="D39" s="998"/>
      <c r="E39" s="998"/>
      <c r="F39" s="998"/>
      <c r="G39" s="998"/>
      <c r="H39" s="998"/>
      <c r="I39" s="998"/>
      <c r="J39" s="998"/>
      <c r="K39" s="998"/>
      <c r="L39" s="998"/>
      <c r="M39" s="998"/>
      <c r="N39" s="81"/>
      <c r="O39" s="892">
        <f>SUM(O35:W37)</f>
        <v>198.198025</v>
      </c>
      <c r="P39" s="892"/>
      <c r="Q39" s="892"/>
      <c r="R39" s="892"/>
      <c r="S39" s="892"/>
      <c r="T39" s="892"/>
      <c r="U39" s="892"/>
      <c r="V39" s="892"/>
      <c r="W39" s="892"/>
      <c r="X39" s="892">
        <f>SUM(X35:AF37)</f>
        <v>367.13572499999998</v>
      </c>
      <c r="Y39" s="892"/>
      <c r="Z39" s="892"/>
      <c r="AA39" s="892"/>
      <c r="AB39" s="892"/>
      <c r="AC39" s="892"/>
      <c r="AD39" s="892"/>
      <c r="AE39" s="892"/>
      <c r="AF39" s="892"/>
      <c r="AG39" s="70"/>
      <c r="AH39" s="892">
        <f>SUM(AH35:AP37)</f>
        <v>268.32082500000001</v>
      </c>
      <c r="AI39" s="892"/>
      <c r="AJ39" s="892"/>
      <c r="AK39" s="892"/>
      <c r="AL39" s="892"/>
      <c r="AM39" s="892"/>
      <c r="AN39" s="892"/>
      <c r="AO39" s="892"/>
      <c r="AP39" s="892"/>
      <c r="AQ39" s="892">
        <f>SUM(AQ35:AY37)</f>
        <v>367.13572499999998</v>
      </c>
      <c r="AR39" s="892"/>
      <c r="AS39" s="892"/>
      <c r="AT39" s="892"/>
      <c r="AU39" s="892"/>
      <c r="AV39" s="892"/>
      <c r="AW39" s="892"/>
      <c r="AX39" s="892"/>
      <c r="AY39" s="892"/>
      <c r="AZ39" s="892">
        <f>SUM(AZ35:BH37)</f>
        <v>0</v>
      </c>
      <c r="BA39" s="892"/>
      <c r="BB39" s="892"/>
      <c r="BC39" s="892"/>
      <c r="BD39" s="892"/>
      <c r="BE39" s="892"/>
      <c r="BF39" s="892"/>
      <c r="BG39" s="892"/>
      <c r="BH39" s="892"/>
      <c r="BI39" s="70"/>
      <c r="BJ39" s="892">
        <f>SUM(BJ35:BR37)</f>
        <v>1185.7788</v>
      </c>
      <c r="BK39" s="892"/>
      <c r="BL39" s="892"/>
      <c r="BM39" s="892"/>
      <c r="BN39" s="892"/>
      <c r="BO39" s="892"/>
      <c r="BP39" s="892"/>
      <c r="BQ39" s="892"/>
      <c r="BR39" s="892"/>
      <c r="BS39" s="892">
        <f>SUM(BS35:CA37)</f>
        <v>40.248123750000005</v>
      </c>
      <c r="BT39" s="892"/>
      <c r="BU39" s="892"/>
      <c r="BV39" s="892"/>
      <c r="BW39" s="892"/>
      <c r="BX39" s="892"/>
      <c r="BY39" s="892"/>
      <c r="BZ39" s="892"/>
      <c r="CA39" s="892"/>
      <c r="CB39" s="70"/>
      <c r="CC39" s="892">
        <f>SUM(CC35:CK37)</f>
        <v>268.32082500000001</v>
      </c>
      <c r="CD39" s="892"/>
      <c r="CE39" s="892"/>
      <c r="CF39" s="892"/>
      <c r="CG39" s="892"/>
      <c r="CH39" s="892"/>
      <c r="CI39" s="892"/>
      <c r="CJ39" s="892"/>
      <c r="CK39" s="892"/>
      <c r="CL39" s="1"/>
      <c r="CM39" s="72"/>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70"/>
      <c r="ES39" s="70"/>
      <c r="ET39" s="70"/>
      <c r="EU39" s="70"/>
      <c r="EV39" s="70"/>
      <c r="EW39" s="70"/>
      <c r="EX39" s="70"/>
      <c r="EY39" s="70"/>
      <c r="EZ39" s="70"/>
      <c r="FA39" s="70"/>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row>
    <row r="40" spans="2:190" s="68" customFormat="1" ht="7.5" customHeight="1" x14ac:dyDescent="0.2">
      <c r="B40" s="87"/>
      <c r="C40" s="87"/>
      <c r="D40" s="87"/>
      <c r="E40" s="87"/>
      <c r="F40" s="87"/>
      <c r="G40" s="87"/>
      <c r="H40" s="87"/>
      <c r="I40" s="87"/>
      <c r="J40" s="87"/>
      <c r="K40" s="87"/>
      <c r="L40" s="87"/>
      <c r="M40" s="87"/>
      <c r="O40" s="47"/>
      <c r="P40" s="47"/>
      <c r="Q40" s="47"/>
      <c r="R40" s="47"/>
      <c r="S40" s="47"/>
      <c r="T40" s="47"/>
      <c r="U40" s="47"/>
      <c r="V40" s="47"/>
      <c r="W40" s="47"/>
      <c r="X40" s="47"/>
      <c r="Y40" s="47"/>
      <c r="Z40" s="47"/>
      <c r="AA40" s="47"/>
      <c r="AB40" s="47"/>
      <c r="AC40" s="47"/>
      <c r="AD40" s="47"/>
      <c r="AE40" s="47"/>
      <c r="AF40" s="47"/>
      <c r="AG40" s="70"/>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70"/>
      <c r="CC40" s="47"/>
      <c r="CD40" s="47"/>
      <c r="CE40" s="47"/>
      <c r="CF40" s="47"/>
      <c r="CG40" s="47"/>
      <c r="CH40" s="47"/>
      <c r="CI40" s="47"/>
      <c r="CJ40" s="47"/>
      <c r="CK40" s="47"/>
      <c r="CL40" s="1"/>
      <c r="CM40" s="72"/>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row>
    <row r="41" spans="2:190" s="68" customFormat="1" ht="20.100000000000001" hidden="1" customHeight="1" x14ac:dyDescent="0.2">
      <c r="B41" s="902" t="s">
        <v>688</v>
      </c>
      <c r="C41" s="902"/>
      <c r="D41" s="902"/>
      <c r="E41" s="902"/>
      <c r="F41" s="902"/>
      <c r="G41" s="902"/>
      <c r="H41" s="902"/>
      <c r="I41" s="902"/>
      <c r="J41" s="902"/>
      <c r="K41" s="902"/>
      <c r="L41" s="902"/>
      <c r="M41" s="903"/>
      <c r="N41" s="90"/>
      <c r="O41" s="894">
        <f>SUM(DIABÉTICO!AA23:AB24)*DIABÉTICO!V37*DIABÉTICO!S17</f>
        <v>52.112850000000009</v>
      </c>
      <c r="P41" s="895"/>
      <c r="Q41" s="895"/>
      <c r="R41" s="895"/>
      <c r="S41" s="895"/>
      <c r="T41" s="895"/>
      <c r="U41" s="895"/>
      <c r="V41" s="895"/>
      <c r="W41" s="895"/>
      <c r="X41" s="895"/>
      <c r="Y41" s="895"/>
      <c r="Z41" s="895"/>
      <c r="AA41" s="895"/>
      <c r="AB41" s="895"/>
      <c r="AC41" s="895"/>
      <c r="AD41" s="895"/>
      <c r="AE41" s="895"/>
      <c r="AF41" s="896"/>
      <c r="AG41" s="91"/>
      <c r="AH41" s="894">
        <f>SUM(DIABÉTICO!AA23:AB24)*DIABÉTICO!V36*DIABÉTICO!S17</f>
        <v>52.112850000000009</v>
      </c>
      <c r="AI41" s="895"/>
      <c r="AJ41" s="895"/>
      <c r="AK41" s="895"/>
      <c r="AL41" s="895"/>
      <c r="AM41" s="895"/>
      <c r="AN41" s="895"/>
      <c r="AO41" s="895"/>
      <c r="AP41" s="895"/>
      <c r="AQ41" s="895"/>
      <c r="AR41" s="895"/>
      <c r="AS41" s="895"/>
      <c r="AT41" s="895"/>
      <c r="AU41" s="895"/>
      <c r="AV41" s="895"/>
      <c r="AW41" s="895"/>
      <c r="AX41" s="895"/>
      <c r="AY41" s="895"/>
      <c r="AZ41" s="895"/>
      <c r="BA41" s="895"/>
      <c r="BB41" s="895"/>
      <c r="BC41" s="895"/>
      <c r="BD41" s="895"/>
      <c r="BE41" s="895"/>
      <c r="BF41" s="895"/>
      <c r="BG41" s="895"/>
      <c r="BH41" s="895"/>
      <c r="BI41" s="92"/>
      <c r="BJ41" s="895"/>
      <c r="BK41" s="895"/>
      <c r="BL41" s="895"/>
      <c r="BM41" s="895"/>
      <c r="BN41" s="895"/>
      <c r="BO41" s="895"/>
      <c r="BP41" s="895"/>
      <c r="BQ41" s="895"/>
      <c r="BR41" s="895"/>
      <c r="BS41" s="895">
        <f>SUM(DIABÉTICO!AA23:AB24)*DIABÉTICO!V42*DIABÉTICO!S17/TUTORIAL!V143</f>
        <v>7.8169275000000011</v>
      </c>
      <c r="BT41" s="895"/>
      <c r="BU41" s="895"/>
      <c r="BV41" s="895"/>
      <c r="BW41" s="895"/>
      <c r="BX41" s="895"/>
      <c r="BY41" s="895"/>
      <c r="BZ41" s="895"/>
      <c r="CA41" s="896"/>
      <c r="CB41" s="91"/>
      <c r="CC41" s="894">
        <f>SUM(DIABÉTICO!AA23:AB24)*DIABÉTICO!V44*DIABÉTICO!S17</f>
        <v>52.112850000000009</v>
      </c>
      <c r="CD41" s="895"/>
      <c r="CE41" s="895"/>
      <c r="CF41" s="895"/>
      <c r="CG41" s="895"/>
      <c r="CH41" s="895"/>
      <c r="CI41" s="895"/>
      <c r="CJ41" s="895"/>
      <c r="CK41" s="896"/>
      <c r="CL41" s="1"/>
      <c r="CM41" s="72"/>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row>
    <row r="42" spans="2:190" s="68" customFormat="1" ht="20.100000000000001" hidden="1" customHeight="1" x14ac:dyDescent="0.2">
      <c r="B42" s="897" t="s">
        <v>689</v>
      </c>
      <c r="C42" s="897"/>
      <c r="D42" s="897"/>
      <c r="E42" s="897"/>
      <c r="F42" s="897"/>
      <c r="G42" s="897"/>
      <c r="H42" s="897"/>
      <c r="I42" s="897"/>
      <c r="J42" s="897"/>
      <c r="K42" s="897"/>
      <c r="L42" s="897"/>
      <c r="M42" s="898"/>
      <c r="N42" s="90"/>
      <c r="O42" s="899"/>
      <c r="P42" s="900"/>
      <c r="Q42" s="900"/>
      <c r="R42" s="900"/>
      <c r="S42" s="900"/>
      <c r="T42" s="900"/>
      <c r="U42" s="900"/>
      <c r="V42" s="900"/>
      <c r="W42" s="900"/>
      <c r="X42" s="900">
        <f>SUM(DIABÉTICO!W23:Z24)*DIABÉTICO!V39*DIABÉTICO!S17</f>
        <v>30.927750000000003</v>
      </c>
      <c r="Y42" s="900"/>
      <c r="Z42" s="900"/>
      <c r="AA42" s="900"/>
      <c r="AB42" s="900"/>
      <c r="AC42" s="900"/>
      <c r="AD42" s="900"/>
      <c r="AE42" s="900"/>
      <c r="AF42" s="901"/>
      <c r="AG42" s="91"/>
      <c r="AH42" s="899"/>
      <c r="AI42" s="900"/>
      <c r="AJ42" s="900"/>
      <c r="AK42" s="900"/>
      <c r="AL42" s="900"/>
      <c r="AM42" s="900"/>
      <c r="AN42" s="900"/>
      <c r="AO42" s="900"/>
      <c r="AP42" s="900"/>
      <c r="AQ42" s="900">
        <f>SUM(DIABÉTICO!W23:Z24)*DIABÉTICO!V38*DIABÉTICO!S17</f>
        <v>30.927750000000003</v>
      </c>
      <c r="AR42" s="900"/>
      <c r="AS42" s="900"/>
      <c r="AT42" s="900"/>
      <c r="AU42" s="900"/>
      <c r="AV42" s="900"/>
      <c r="AW42" s="900"/>
      <c r="AX42" s="900"/>
      <c r="AY42" s="900"/>
      <c r="AZ42" s="900"/>
      <c r="BA42" s="900"/>
      <c r="BB42" s="900"/>
      <c r="BC42" s="900"/>
      <c r="BD42" s="900"/>
      <c r="BE42" s="900"/>
      <c r="BF42" s="900"/>
      <c r="BG42" s="900"/>
      <c r="BH42" s="900"/>
      <c r="BI42" s="92"/>
      <c r="BJ42" s="900"/>
      <c r="BK42" s="900"/>
      <c r="BL42" s="900"/>
      <c r="BM42" s="900"/>
      <c r="BN42" s="900"/>
      <c r="BO42" s="900"/>
      <c r="BP42" s="900"/>
      <c r="BQ42" s="900"/>
      <c r="BR42" s="900"/>
      <c r="BS42" s="900"/>
      <c r="BT42" s="900"/>
      <c r="BU42" s="900"/>
      <c r="BV42" s="900"/>
      <c r="BW42" s="900"/>
      <c r="BX42" s="900"/>
      <c r="BY42" s="900"/>
      <c r="BZ42" s="900"/>
      <c r="CA42" s="901"/>
      <c r="CB42" s="91"/>
      <c r="CC42" s="899"/>
      <c r="CD42" s="900"/>
      <c r="CE42" s="900"/>
      <c r="CF42" s="900"/>
      <c r="CG42" s="900"/>
      <c r="CH42" s="900"/>
      <c r="CI42" s="900"/>
      <c r="CJ42" s="900"/>
      <c r="CK42" s="901"/>
      <c r="CL42" s="1"/>
      <c r="CM42" s="72"/>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row>
    <row r="43" spans="2:190" s="68" customFormat="1" ht="20.100000000000001" hidden="1" customHeight="1" x14ac:dyDescent="0.2">
      <c r="B43" s="906" t="s">
        <v>690</v>
      </c>
      <c r="C43" s="906"/>
      <c r="D43" s="906"/>
      <c r="E43" s="906"/>
      <c r="F43" s="906"/>
      <c r="G43" s="906"/>
      <c r="H43" s="906"/>
      <c r="I43" s="906"/>
      <c r="J43" s="906"/>
      <c r="K43" s="906"/>
      <c r="L43" s="906"/>
      <c r="M43" s="907"/>
      <c r="N43" s="90"/>
      <c r="O43" s="908"/>
      <c r="P43" s="904"/>
      <c r="Q43" s="904"/>
      <c r="R43" s="904"/>
      <c r="S43" s="904"/>
      <c r="T43" s="904"/>
      <c r="U43" s="904"/>
      <c r="V43" s="904"/>
      <c r="W43" s="904"/>
      <c r="X43" s="904">
        <f>SUM(DIABÉTICO!S23:V24)*DIABÉTICO!V41*DIABÉTICO!S17</f>
        <v>42.370200000000004</v>
      </c>
      <c r="Y43" s="904"/>
      <c r="Z43" s="904"/>
      <c r="AA43" s="904"/>
      <c r="AB43" s="904"/>
      <c r="AC43" s="904"/>
      <c r="AD43" s="904"/>
      <c r="AE43" s="904"/>
      <c r="AF43" s="905"/>
      <c r="AG43" s="91"/>
      <c r="AH43" s="908"/>
      <c r="AI43" s="904"/>
      <c r="AJ43" s="904"/>
      <c r="AK43" s="904"/>
      <c r="AL43" s="904"/>
      <c r="AM43" s="904"/>
      <c r="AN43" s="904"/>
      <c r="AO43" s="904"/>
      <c r="AP43" s="904"/>
      <c r="AQ43" s="904">
        <f>SUM(DIABÉTICO!S23:V24)*DIABÉTICO!V40*DIABÉTICO!S17</f>
        <v>42.370200000000004</v>
      </c>
      <c r="AR43" s="904"/>
      <c r="AS43" s="904"/>
      <c r="AT43" s="904"/>
      <c r="AU43" s="904"/>
      <c r="AV43" s="904"/>
      <c r="AW43" s="904"/>
      <c r="AX43" s="904"/>
      <c r="AY43" s="904"/>
      <c r="AZ43" s="904"/>
      <c r="BA43" s="904"/>
      <c r="BB43" s="904"/>
      <c r="BC43" s="904"/>
      <c r="BD43" s="904"/>
      <c r="BE43" s="904"/>
      <c r="BF43" s="904"/>
      <c r="BG43" s="904"/>
      <c r="BH43" s="904"/>
      <c r="BI43" s="92"/>
      <c r="BJ43" s="904">
        <f>SUM(DIABÉTICO!S23:V24)*DIABÉTICO!V43*DIABÉTICO!S17</f>
        <v>254.22120000000001</v>
      </c>
      <c r="BK43" s="904"/>
      <c r="BL43" s="904"/>
      <c r="BM43" s="904"/>
      <c r="BN43" s="904"/>
      <c r="BO43" s="904"/>
      <c r="BP43" s="904"/>
      <c r="BQ43" s="904"/>
      <c r="BR43" s="904"/>
      <c r="BS43" s="904"/>
      <c r="BT43" s="904"/>
      <c r="BU43" s="904"/>
      <c r="BV43" s="904"/>
      <c r="BW43" s="904"/>
      <c r="BX43" s="904"/>
      <c r="BY43" s="904"/>
      <c r="BZ43" s="904"/>
      <c r="CA43" s="905"/>
      <c r="CB43" s="91"/>
      <c r="CC43" s="908"/>
      <c r="CD43" s="904"/>
      <c r="CE43" s="904"/>
      <c r="CF43" s="904"/>
      <c r="CG43" s="904"/>
      <c r="CH43" s="904"/>
      <c r="CI43" s="904"/>
      <c r="CJ43" s="904"/>
      <c r="CK43" s="905"/>
      <c r="CL43" s="1"/>
      <c r="CM43" s="72"/>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row>
    <row r="44" spans="2:190" s="68" customFormat="1" ht="20.100000000000001" hidden="1" customHeight="1" x14ac:dyDescent="0.2">
      <c r="B44" s="997" t="s">
        <v>62</v>
      </c>
      <c r="C44" s="997"/>
      <c r="D44" s="997"/>
      <c r="E44" s="997"/>
      <c r="F44" s="997"/>
      <c r="G44" s="997"/>
      <c r="H44" s="997"/>
      <c r="I44" s="997"/>
      <c r="J44" s="997"/>
      <c r="K44" s="997"/>
      <c r="L44" s="997"/>
      <c r="M44" s="997"/>
      <c r="N44" s="78"/>
      <c r="O44" s="961"/>
      <c r="P44" s="961"/>
      <c r="Q44" s="961"/>
      <c r="R44" s="961"/>
      <c r="S44" s="961"/>
      <c r="T44" s="961"/>
      <c r="U44" s="961"/>
      <c r="V44" s="961"/>
      <c r="W44" s="961"/>
      <c r="X44" s="961"/>
      <c r="Y44" s="961"/>
      <c r="Z44" s="961"/>
      <c r="AA44" s="961"/>
      <c r="AB44" s="961"/>
      <c r="AC44" s="961"/>
      <c r="AD44" s="961"/>
      <c r="AE44" s="961"/>
      <c r="AF44" s="961"/>
      <c r="AG44" s="70"/>
      <c r="AH44" s="961"/>
      <c r="AI44" s="961"/>
      <c r="AJ44" s="961"/>
      <c r="AK44" s="961"/>
      <c r="AL44" s="961"/>
      <c r="AM44" s="961"/>
      <c r="AN44" s="961"/>
      <c r="AO44" s="961"/>
      <c r="AP44" s="961"/>
      <c r="AQ44" s="961"/>
      <c r="AR44" s="961"/>
      <c r="AS44" s="961"/>
      <c r="AT44" s="961"/>
      <c r="AU44" s="961"/>
      <c r="AV44" s="961"/>
      <c r="AW44" s="961"/>
      <c r="AX44" s="961"/>
      <c r="AY44" s="961"/>
      <c r="AZ44" s="961"/>
      <c r="BA44" s="961"/>
      <c r="BB44" s="961"/>
      <c r="BC44" s="961"/>
      <c r="BD44" s="961"/>
      <c r="BE44" s="961"/>
      <c r="BF44" s="961"/>
      <c r="BG44" s="961"/>
      <c r="BH44" s="961"/>
      <c r="BI44" s="70"/>
      <c r="BJ44" s="961"/>
      <c r="BK44" s="961"/>
      <c r="BL44" s="961"/>
      <c r="BM44" s="961"/>
      <c r="BN44" s="961"/>
      <c r="BO44" s="961"/>
      <c r="BP44" s="961"/>
      <c r="BQ44" s="961"/>
      <c r="BR44" s="961"/>
      <c r="BS44" s="961"/>
      <c r="BT44" s="961"/>
      <c r="BU44" s="961"/>
      <c r="BV44" s="961"/>
      <c r="BW44" s="961"/>
      <c r="BX44" s="961"/>
      <c r="BY44" s="961"/>
      <c r="BZ44" s="961"/>
      <c r="CA44" s="961"/>
      <c r="CB44" s="70"/>
      <c r="CC44" s="961"/>
      <c r="CD44" s="961"/>
      <c r="CE44" s="961"/>
      <c r="CF44" s="961"/>
      <c r="CG44" s="961"/>
      <c r="CH44" s="961"/>
      <c r="CI44" s="961"/>
      <c r="CJ44" s="961"/>
      <c r="CK44" s="961"/>
      <c r="CL44" s="1"/>
      <c r="CM44" s="72"/>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70"/>
      <c r="ES44" s="70"/>
      <c r="ET44" s="70"/>
      <c r="EU44" s="70"/>
      <c r="EV44" s="70"/>
      <c r="EW44" s="70"/>
      <c r="EX44" s="70"/>
      <c r="EY44" s="70"/>
      <c r="EZ44" s="70"/>
      <c r="FA44" s="70"/>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row>
    <row r="45" spans="2:190" s="68" customFormat="1" ht="20.100000000000001" hidden="1" customHeight="1" x14ac:dyDescent="0.2">
      <c r="B45" s="917" t="s">
        <v>13</v>
      </c>
      <c r="C45" s="917"/>
      <c r="D45" s="917"/>
      <c r="E45" s="917"/>
      <c r="F45" s="917"/>
      <c r="G45" s="917"/>
      <c r="H45" s="917"/>
      <c r="I45" s="917"/>
      <c r="J45" s="917"/>
      <c r="K45" s="917"/>
      <c r="L45" s="917"/>
      <c r="M45" s="918"/>
      <c r="N45" s="81"/>
      <c r="O45" s="923">
        <f>(SUM(DIABÉTICO!AA23:AB24)*DIABÉTICO!V37)</f>
        <v>104.22570000000002</v>
      </c>
      <c r="P45" s="913"/>
      <c r="Q45" s="913"/>
      <c r="R45" s="913"/>
      <c r="S45" s="913"/>
      <c r="T45" s="913"/>
      <c r="U45" s="913"/>
      <c r="V45" s="913"/>
      <c r="W45" s="913"/>
      <c r="X45" s="913"/>
      <c r="Y45" s="913"/>
      <c r="Z45" s="913"/>
      <c r="AA45" s="913"/>
      <c r="AB45" s="913"/>
      <c r="AC45" s="913"/>
      <c r="AD45" s="913"/>
      <c r="AE45" s="913"/>
      <c r="AF45" s="914"/>
      <c r="AG45" s="70"/>
      <c r="AH45" s="923">
        <f>SUM(DIABÉTICO!AA23:AB24)*DIABÉTICO!V36</f>
        <v>104.22570000000002</v>
      </c>
      <c r="AI45" s="913"/>
      <c r="AJ45" s="913"/>
      <c r="AK45" s="913"/>
      <c r="AL45" s="913"/>
      <c r="AM45" s="913"/>
      <c r="AN45" s="913"/>
      <c r="AO45" s="913"/>
      <c r="AP45" s="913"/>
      <c r="AQ45" s="913"/>
      <c r="AR45" s="913"/>
      <c r="AS45" s="913"/>
      <c r="AT45" s="913"/>
      <c r="AU45" s="913"/>
      <c r="AV45" s="913"/>
      <c r="AW45" s="913"/>
      <c r="AX45" s="913"/>
      <c r="AY45" s="913"/>
      <c r="AZ45" s="913">
        <f>(AH45+AQ46+AQ47)*DIABÉTICO!V46</f>
        <v>250.82160000000005</v>
      </c>
      <c r="BA45" s="913"/>
      <c r="BB45" s="913"/>
      <c r="BC45" s="913"/>
      <c r="BD45" s="913"/>
      <c r="BE45" s="913"/>
      <c r="BF45" s="913"/>
      <c r="BG45" s="913"/>
      <c r="BH45" s="913"/>
      <c r="BI45" s="79"/>
      <c r="BJ45" s="913"/>
      <c r="BK45" s="913"/>
      <c r="BL45" s="913"/>
      <c r="BM45" s="913"/>
      <c r="BN45" s="913"/>
      <c r="BO45" s="913"/>
      <c r="BP45" s="913"/>
      <c r="BQ45" s="913"/>
      <c r="BR45" s="913"/>
      <c r="BS45" s="913">
        <f>SUM(DIABÉTICO!AA23:AB24)*DIABÉTICO!V42/TUTORIAL!V143</f>
        <v>15.633855000000002</v>
      </c>
      <c r="BT45" s="913"/>
      <c r="BU45" s="913"/>
      <c r="BV45" s="913"/>
      <c r="BW45" s="913"/>
      <c r="BX45" s="913"/>
      <c r="BY45" s="913"/>
      <c r="BZ45" s="913"/>
      <c r="CA45" s="914"/>
      <c r="CB45" s="70"/>
      <c r="CC45" s="923">
        <f>SUM(DIABÉTICO!AA23:AB24)*DIABÉTICO!V44*DIABÉTICO!S17</f>
        <v>52.112850000000009</v>
      </c>
      <c r="CD45" s="913"/>
      <c r="CE45" s="913"/>
      <c r="CF45" s="913"/>
      <c r="CG45" s="913"/>
      <c r="CH45" s="913"/>
      <c r="CI45" s="913"/>
      <c r="CJ45" s="913"/>
      <c r="CK45" s="914"/>
      <c r="CL45" s="1"/>
      <c r="CM45" s="72"/>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70"/>
      <c r="ES45" s="70"/>
      <c r="ET45" s="70"/>
      <c r="EU45" s="70"/>
      <c r="EV45" s="70"/>
      <c r="EW45" s="70"/>
      <c r="EX45" s="70"/>
      <c r="EY45" s="70"/>
      <c r="EZ45" s="70"/>
      <c r="FA45" s="70"/>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row>
    <row r="46" spans="2:190" s="68" customFormat="1" ht="20.100000000000001" hidden="1" customHeight="1" x14ac:dyDescent="0.2">
      <c r="B46" s="915" t="s">
        <v>99</v>
      </c>
      <c r="C46" s="915"/>
      <c r="D46" s="915"/>
      <c r="E46" s="915"/>
      <c r="F46" s="915"/>
      <c r="G46" s="915"/>
      <c r="H46" s="915"/>
      <c r="I46" s="915"/>
      <c r="J46" s="915"/>
      <c r="K46" s="915"/>
      <c r="L46" s="915"/>
      <c r="M46" s="916"/>
      <c r="N46" s="81"/>
      <c r="O46" s="963"/>
      <c r="P46" s="924"/>
      <c r="Q46" s="924"/>
      <c r="R46" s="924"/>
      <c r="S46" s="924"/>
      <c r="T46" s="924"/>
      <c r="U46" s="924"/>
      <c r="V46" s="924"/>
      <c r="W46" s="924"/>
      <c r="X46" s="924">
        <f>SUM(DIABÉTICO!W23:Z24)*DIABÉTICO!V39</f>
        <v>61.855500000000006</v>
      </c>
      <c r="Y46" s="924"/>
      <c r="Z46" s="924"/>
      <c r="AA46" s="924"/>
      <c r="AB46" s="924"/>
      <c r="AC46" s="924"/>
      <c r="AD46" s="924"/>
      <c r="AE46" s="924"/>
      <c r="AF46" s="962"/>
      <c r="AG46" s="70"/>
      <c r="AH46" s="963"/>
      <c r="AI46" s="924"/>
      <c r="AJ46" s="924"/>
      <c r="AK46" s="924"/>
      <c r="AL46" s="924"/>
      <c r="AM46" s="924"/>
      <c r="AN46" s="924"/>
      <c r="AO46" s="924"/>
      <c r="AP46" s="924"/>
      <c r="AQ46" s="924">
        <f>SUM(DIABÉTICO!W23:Z24)*DIABÉTICO!V38</f>
        <v>61.855500000000006</v>
      </c>
      <c r="AR46" s="924"/>
      <c r="AS46" s="924"/>
      <c r="AT46" s="924"/>
      <c r="AU46" s="924"/>
      <c r="AV46" s="924"/>
      <c r="AW46" s="924"/>
      <c r="AX46" s="924"/>
      <c r="AY46" s="924"/>
      <c r="AZ46" s="924"/>
      <c r="BA46" s="924"/>
      <c r="BB46" s="924"/>
      <c r="BC46" s="924"/>
      <c r="BD46" s="924"/>
      <c r="BE46" s="924"/>
      <c r="BF46" s="924"/>
      <c r="BG46" s="924"/>
      <c r="BH46" s="924"/>
      <c r="BI46" s="79"/>
      <c r="BJ46" s="924"/>
      <c r="BK46" s="924"/>
      <c r="BL46" s="924"/>
      <c r="BM46" s="924"/>
      <c r="BN46" s="924"/>
      <c r="BO46" s="924"/>
      <c r="BP46" s="924"/>
      <c r="BQ46" s="924"/>
      <c r="BR46" s="924"/>
      <c r="BS46" s="924"/>
      <c r="BT46" s="924"/>
      <c r="BU46" s="924"/>
      <c r="BV46" s="924"/>
      <c r="BW46" s="924"/>
      <c r="BX46" s="924"/>
      <c r="BY46" s="924"/>
      <c r="BZ46" s="924"/>
      <c r="CA46" s="962"/>
      <c r="CB46" s="70"/>
      <c r="CC46" s="963"/>
      <c r="CD46" s="924"/>
      <c r="CE46" s="924"/>
      <c r="CF46" s="924"/>
      <c r="CG46" s="924"/>
      <c r="CH46" s="924"/>
      <c r="CI46" s="924"/>
      <c r="CJ46" s="924"/>
      <c r="CK46" s="962"/>
      <c r="CL46" s="1"/>
      <c r="CM46" s="72"/>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70"/>
      <c r="ES46" s="70"/>
      <c r="ET46" s="70"/>
      <c r="EU46" s="70"/>
      <c r="EV46" s="70"/>
      <c r="EW46" s="70"/>
      <c r="EX46" s="70"/>
      <c r="EY46" s="70"/>
      <c r="EZ46" s="70"/>
      <c r="FA46" s="70"/>
      <c r="FB46" s="69"/>
      <c r="FC46" s="69"/>
      <c r="FD46" s="69"/>
      <c r="FE46" s="69"/>
      <c r="FF46" s="69"/>
      <c r="FG46" s="69"/>
      <c r="FH46" s="69"/>
      <c r="FI46" s="69"/>
      <c r="FJ46" s="69"/>
      <c r="FK46" s="69"/>
      <c r="FL46" s="69"/>
      <c r="FM46" s="69"/>
      <c r="FN46" s="69"/>
      <c r="FO46" s="69"/>
      <c r="FP46" s="69"/>
      <c r="FQ46" s="69"/>
      <c r="FR46" s="69"/>
      <c r="FS46" s="69"/>
      <c r="FT46" s="69"/>
      <c r="FU46" s="69"/>
      <c r="FV46" s="69"/>
      <c r="FW46" s="69"/>
      <c r="FX46" s="69"/>
      <c r="FY46" s="69"/>
      <c r="FZ46" s="69"/>
      <c r="GA46" s="69"/>
      <c r="GB46" s="69"/>
      <c r="GC46" s="69"/>
      <c r="GD46" s="69"/>
      <c r="GE46" s="69"/>
      <c r="GF46" s="69"/>
      <c r="GG46" s="69"/>
      <c r="GH46" s="69"/>
    </row>
    <row r="47" spans="2:190" s="68" customFormat="1" ht="20.100000000000001" hidden="1" customHeight="1" x14ac:dyDescent="0.2">
      <c r="B47" s="921" t="s">
        <v>63</v>
      </c>
      <c r="C47" s="921"/>
      <c r="D47" s="921"/>
      <c r="E47" s="921"/>
      <c r="F47" s="921"/>
      <c r="G47" s="921"/>
      <c r="H47" s="921"/>
      <c r="I47" s="921"/>
      <c r="J47" s="921"/>
      <c r="K47" s="921"/>
      <c r="L47" s="921"/>
      <c r="M47" s="922"/>
      <c r="N47" s="81"/>
      <c r="O47" s="919"/>
      <c r="P47" s="920"/>
      <c r="Q47" s="920"/>
      <c r="R47" s="920"/>
      <c r="S47" s="920"/>
      <c r="T47" s="920"/>
      <c r="U47" s="920"/>
      <c r="V47" s="920"/>
      <c r="W47" s="920"/>
      <c r="X47" s="920">
        <f>SUM(DIABÉTICO!S23:V24)*DIABÉTICO!V41</f>
        <v>84.740400000000008</v>
      </c>
      <c r="Y47" s="920"/>
      <c r="Z47" s="920"/>
      <c r="AA47" s="920"/>
      <c r="AB47" s="920"/>
      <c r="AC47" s="920"/>
      <c r="AD47" s="920"/>
      <c r="AE47" s="920"/>
      <c r="AF47" s="925"/>
      <c r="AG47" s="70"/>
      <c r="AH47" s="919"/>
      <c r="AI47" s="920"/>
      <c r="AJ47" s="920"/>
      <c r="AK47" s="920"/>
      <c r="AL47" s="920"/>
      <c r="AM47" s="920"/>
      <c r="AN47" s="920"/>
      <c r="AO47" s="920"/>
      <c r="AP47" s="920"/>
      <c r="AQ47" s="920">
        <f>SUM(DIABÉTICO!S23:V24)*DIABÉTICO!V40</f>
        <v>84.740400000000008</v>
      </c>
      <c r="AR47" s="920"/>
      <c r="AS47" s="920"/>
      <c r="AT47" s="920"/>
      <c r="AU47" s="920"/>
      <c r="AV47" s="920"/>
      <c r="AW47" s="920"/>
      <c r="AX47" s="920"/>
      <c r="AY47" s="920"/>
      <c r="AZ47" s="920"/>
      <c r="BA47" s="920"/>
      <c r="BB47" s="920"/>
      <c r="BC47" s="920"/>
      <c r="BD47" s="920"/>
      <c r="BE47" s="920"/>
      <c r="BF47" s="920"/>
      <c r="BG47" s="920"/>
      <c r="BH47" s="920"/>
      <c r="BI47" s="79"/>
      <c r="BJ47" s="920">
        <f>SUM(DIABÉTICO!S23:V24)*DIABÉTICO!V43</f>
        <v>508.44240000000002</v>
      </c>
      <c r="BK47" s="920"/>
      <c r="BL47" s="920"/>
      <c r="BM47" s="920"/>
      <c r="BN47" s="920"/>
      <c r="BO47" s="920"/>
      <c r="BP47" s="920"/>
      <c r="BQ47" s="920"/>
      <c r="BR47" s="920"/>
      <c r="BS47" s="920"/>
      <c r="BT47" s="920"/>
      <c r="BU47" s="920"/>
      <c r="BV47" s="920"/>
      <c r="BW47" s="920"/>
      <c r="BX47" s="920"/>
      <c r="BY47" s="920"/>
      <c r="BZ47" s="920"/>
      <c r="CA47" s="925"/>
      <c r="CB47" s="70"/>
      <c r="CC47" s="919"/>
      <c r="CD47" s="920"/>
      <c r="CE47" s="920"/>
      <c r="CF47" s="920"/>
      <c r="CG47" s="920"/>
      <c r="CH47" s="920"/>
      <c r="CI47" s="920"/>
      <c r="CJ47" s="920"/>
      <c r="CK47" s="925"/>
      <c r="CL47" s="1"/>
      <c r="CM47" s="72"/>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70"/>
      <c r="ES47" s="70"/>
      <c r="ET47" s="70"/>
      <c r="EU47" s="70"/>
      <c r="EV47" s="70"/>
      <c r="EW47" s="70"/>
      <c r="EX47" s="70"/>
      <c r="EY47" s="70"/>
      <c r="EZ47" s="70"/>
      <c r="FA47" s="70"/>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row>
    <row r="48" spans="2:190" ht="20.100000000000001" hidden="1" customHeight="1" x14ac:dyDescent="0.25">
      <c r="B48" s="83"/>
      <c r="C48" s="83"/>
      <c r="D48" s="83"/>
      <c r="E48" s="83"/>
      <c r="F48" s="83"/>
      <c r="G48" s="83"/>
      <c r="H48" s="83"/>
      <c r="I48" s="83"/>
      <c r="J48" s="83"/>
      <c r="K48" s="83"/>
      <c r="L48" s="83"/>
      <c r="M48" s="84"/>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6"/>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68"/>
      <c r="DY48" s="85"/>
      <c r="DZ48" s="85"/>
      <c r="EA48" s="85"/>
    </row>
    <row r="49" spans="1:190" s="68" customFormat="1" ht="20.100000000000001" customHeight="1" x14ac:dyDescent="0.2">
      <c r="B49" s="891" t="s">
        <v>62</v>
      </c>
      <c r="C49" s="891"/>
      <c r="D49" s="891"/>
      <c r="E49" s="891"/>
      <c r="F49" s="891"/>
      <c r="G49" s="891"/>
      <c r="H49" s="891"/>
      <c r="I49" s="891"/>
      <c r="J49" s="891"/>
      <c r="K49" s="891"/>
      <c r="L49" s="891"/>
      <c r="M49" s="891"/>
      <c r="N49" s="81"/>
      <c r="O49" s="892">
        <f>SUM(O45:W47)</f>
        <v>104.22570000000002</v>
      </c>
      <c r="P49" s="892"/>
      <c r="Q49" s="892"/>
      <c r="R49" s="892"/>
      <c r="S49" s="892"/>
      <c r="T49" s="892"/>
      <c r="U49" s="892"/>
      <c r="V49" s="892"/>
      <c r="W49" s="892"/>
      <c r="X49" s="892">
        <f>SUM(X45:AF47)</f>
        <v>146.59590000000003</v>
      </c>
      <c r="Y49" s="892"/>
      <c r="Z49" s="892"/>
      <c r="AA49" s="892"/>
      <c r="AB49" s="892"/>
      <c r="AC49" s="892"/>
      <c r="AD49" s="892"/>
      <c r="AE49" s="892"/>
      <c r="AF49" s="892"/>
      <c r="AG49" s="70"/>
      <c r="AH49" s="892">
        <f>SUM(AH45:AP47)</f>
        <v>104.22570000000002</v>
      </c>
      <c r="AI49" s="892"/>
      <c r="AJ49" s="892"/>
      <c r="AK49" s="892"/>
      <c r="AL49" s="892"/>
      <c r="AM49" s="892"/>
      <c r="AN49" s="892"/>
      <c r="AO49" s="892"/>
      <c r="AP49" s="892"/>
      <c r="AQ49" s="892">
        <f>SUM(AQ45:AY47)</f>
        <v>146.59590000000003</v>
      </c>
      <c r="AR49" s="892"/>
      <c r="AS49" s="892"/>
      <c r="AT49" s="892"/>
      <c r="AU49" s="892"/>
      <c r="AV49" s="892"/>
      <c r="AW49" s="892"/>
      <c r="AX49" s="892"/>
      <c r="AY49" s="892"/>
      <c r="AZ49" s="892">
        <f>SUM(AZ45:BH47)</f>
        <v>250.82160000000005</v>
      </c>
      <c r="BA49" s="892"/>
      <c r="BB49" s="892"/>
      <c r="BC49" s="892"/>
      <c r="BD49" s="892"/>
      <c r="BE49" s="892"/>
      <c r="BF49" s="892"/>
      <c r="BG49" s="892"/>
      <c r="BH49" s="892"/>
      <c r="BI49" s="70"/>
      <c r="BJ49" s="892">
        <f>SUM(BJ45:BR47)</f>
        <v>508.44240000000002</v>
      </c>
      <c r="BK49" s="892"/>
      <c r="BL49" s="892"/>
      <c r="BM49" s="892"/>
      <c r="BN49" s="892"/>
      <c r="BO49" s="892"/>
      <c r="BP49" s="892"/>
      <c r="BQ49" s="892"/>
      <c r="BR49" s="892"/>
      <c r="BS49" s="892">
        <f>SUM(BS45:CA47)</f>
        <v>15.633855000000002</v>
      </c>
      <c r="BT49" s="892"/>
      <c r="BU49" s="892"/>
      <c r="BV49" s="892"/>
      <c r="BW49" s="892"/>
      <c r="BX49" s="892"/>
      <c r="BY49" s="892"/>
      <c r="BZ49" s="892"/>
      <c r="CA49" s="892"/>
      <c r="CB49" s="70"/>
      <c r="CC49" s="892">
        <f>SUM(CC45:CK47)</f>
        <v>52.112850000000009</v>
      </c>
      <c r="CD49" s="892"/>
      <c r="CE49" s="892"/>
      <c r="CF49" s="892"/>
      <c r="CG49" s="892"/>
      <c r="CH49" s="892"/>
      <c r="CI49" s="892"/>
      <c r="CJ49" s="892"/>
      <c r="CK49" s="892"/>
      <c r="CL49" s="1"/>
      <c r="CM49" s="72"/>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70"/>
      <c r="ES49" s="70"/>
      <c r="ET49" s="70"/>
      <c r="EU49" s="70"/>
      <c r="EV49" s="70"/>
      <c r="EW49" s="70"/>
      <c r="EX49" s="70"/>
      <c r="EY49" s="70"/>
      <c r="EZ49" s="70"/>
      <c r="FA49" s="70"/>
      <c r="FB49" s="69"/>
      <c r="FC49" s="69"/>
      <c r="FD49" s="69"/>
      <c r="FE49" s="69"/>
      <c r="FF49" s="69"/>
      <c r="FG49" s="69"/>
      <c r="FH49" s="69"/>
      <c r="FI49" s="69"/>
      <c r="FJ49" s="69"/>
      <c r="FK49" s="69"/>
      <c r="FL49" s="69"/>
      <c r="FM49" s="69"/>
      <c r="FN49" s="69"/>
      <c r="FO49" s="69"/>
      <c r="FP49" s="69"/>
      <c r="FQ49" s="69"/>
      <c r="FR49" s="69"/>
      <c r="FS49" s="69"/>
      <c r="FT49" s="69"/>
      <c r="FU49" s="69"/>
      <c r="FV49" s="69"/>
      <c r="FW49" s="69"/>
      <c r="FX49" s="69"/>
      <c r="FY49" s="69"/>
      <c r="FZ49" s="69"/>
      <c r="GA49" s="69"/>
      <c r="GB49" s="69"/>
      <c r="GC49" s="69"/>
      <c r="GD49" s="69"/>
      <c r="GE49" s="69"/>
      <c r="GF49" s="69"/>
      <c r="GG49" s="69"/>
      <c r="GH49" s="69"/>
    </row>
    <row r="50" spans="1:190" s="68" customFormat="1" ht="7.5" customHeight="1" x14ac:dyDescent="0.2">
      <c r="B50" s="81"/>
      <c r="C50" s="81"/>
      <c r="D50" s="81"/>
      <c r="E50" s="81"/>
      <c r="F50" s="81"/>
      <c r="G50" s="81"/>
      <c r="H50" s="81"/>
      <c r="I50" s="81"/>
      <c r="J50" s="81"/>
      <c r="K50" s="81"/>
      <c r="L50" s="81"/>
      <c r="M50" s="81"/>
      <c r="N50" s="81"/>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1"/>
      <c r="CM50" s="72"/>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70"/>
      <c r="ES50" s="70"/>
      <c r="ET50" s="70"/>
      <c r="EU50" s="70"/>
      <c r="EV50" s="70"/>
      <c r="EW50" s="70"/>
      <c r="EX50" s="70"/>
      <c r="EY50" s="70"/>
      <c r="EZ50" s="70"/>
      <c r="FA50" s="70"/>
      <c r="FB50" s="69"/>
      <c r="FC50" s="69"/>
      <c r="FD50" s="69"/>
      <c r="FE50" s="69"/>
      <c r="FF50" s="69"/>
      <c r="FG50" s="69"/>
      <c r="FH50" s="69"/>
      <c r="FI50" s="69"/>
      <c r="FJ50" s="69"/>
      <c r="FK50" s="69"/>
      <c r="FL50" s="69"/>
      <c r="FM50" s="69"/>
      <c r="FN50" s="69"/>
      <c r="FO50" s="69"/>
      <c r="FP50" s="69"/>
      <c r="FQ50" s="69"/>
      <c r="FR50" s="69"/>
      <c r="FS50" s="69"/>
      <c r="FT50" s="69"/>
      <c r="FU50" s="69"/>
      <c r="FV50" s="69"/>
      <c r="FW50" s="69"/>
      <c r="FX50" s="69"/>
      <c r="FY50" s="69"/>
      <c r="FZ50" s="69"/>
      <c r="GA50" s="69"/>
      <c r="GB50" s="69"/>
      <c r="GC50" s="69"/>
      <c r="GD50" s="69"/>
      <c r="GE50" s="69"/>
      <c r="GF50" s="69"/>
      <c r="GG50" s="69"/>
      <c r="GH50" s="69"/>
    </row>
    <row r="51" spans="1:190" s="68" customFormat="1" ht="20.100000000000001" hidden="1" customHeight="1" x14ac:dyDescent="0.2">
      <c r="B51" s="997" t="s">
        <v>46</v>
      </c>
      <c r="C51" s="997"/>
      <c r="D51" s="997"/>
      <c r="E51" s="997"/>
      <c r="F51" s="997"/>
      <c r="G51" s="997"/>
      <c r="H51" s="997"/>
      <c r="I51" s="997"/>
      <c r="J51" s="997"/>
      <c r="K51" s="997"/>
      <c r="L51" s="997"/>
      <c r="M51" s="997"/>
      <c r="N51" s="78"/>
      <c r="O51" s="961"/>
      <c r="P51" s="961"/>
      <c r="Q51" s="961"/>
      <c r="R51" s="961"/>
      <c r="S51" s="961"/>
      <c r="T51" s="961"/>
      <c r="U51" s="961"/>
      <c r="V51" s="961"/>
      <c r="W51" s="961"/>
      <c r="X51" s="961"/>
      <c r="Y51" s="961"/>
      <c r="Z51" s="961"/>
      <c r="AA51" s="961"/>
      <c r="AB51" s="961"/>
      <c r="AC51" s="961"/>
      <c r="AD51" s="961"/>
      <c r="AE51" s="961"/>
      <c r="AF51" s="961"/>
      <c r="AG51" s="70"/>
      <c r="AH51" s="961"/>
      <c r="AI51" s="961"/>
      <c r="AJ51" s="961"/>
      <c r="AK51" s="961"/>
      <c r="AL51" s="961"/>
      <c r="AM51" s="961"/>
      <c r="AN51" s="961"/>
      <c r="AO51" s="961"/>
      <c r="AP51" s="961"/>
      <c r="AQ51" s="961"/>
      <c r="AR51" s="961"/>
      <c r="AS51" s="961"/>
      <c r="AT51" s="961"/>
      <c r="AU51" s="961"/>
      <c r="AV51" s="961"/>
      <c r="AW51" s="961"/>
      <c r="AX51" s="961"/>
      <c r="AY51" s="961"/>
      <c r="AZ51" s="961"/>
      <c r="BA51" s="961"/>
      <c r="BB51" s="961"/>
      <c r="BC51" s="961"/>
      <c r="BD51" s="961"/>
      <c r="BE51" s="961"/>
      <c r="BF51" s="961"/>
      <c r="BG51" s="961"/>
      <c r="BH51" s="961"/>
      <c r="BI51" s="70"/>
      <c r="BJ51" s="961"/>
      <c r="BK51" s="961"/>
      <c r="BL51" s="961"/>
      <c r="BM51" s="961"/>
      <c r="BN51" s="961"/>
      <c r="BO51" s="961"/>
      <c r="BP51" s="961"/>
      <c r="BQ51" s="961"/>
      <c r="BR51" s="961"/>
      <c r="BS51" s="961"/>
      <c r="BT51" s="961"/>
      <c r="BU51" s="961"/>
      <c r="BV51" s="961"/>
      <c r="BW51" s="961"/>
      <c r="BX51" s="961"/>
      <c r="BY51" s="961"/>
      <c r="BZ51" s="961"/>
      <c r="CA51" s="961"/>
      <c r="CB51" s="70"/>
      <c r="CC51" s="961"/>
      <c r="CD51" s="961"/>
      <c r="CE51" s="961"/>
      <c r="CF51" s="961"/>
      <c r="CG51" s="961"/>
      <c r="CH51" s="961"/>
      <c r="CI51" s="961"/>
      <c r="CJ51" s="961"/>
      <c r="CK51" s="961"/>
      <c r="CL51" s="1"/>
      <c r="CM51" s="72"/>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70"/>
      <c r="ES51" s="70"/>
      <c r="ET51" s="70"/>
      <c r="EU51" s="70"/>
      <c r="EV51" s="70"/>
      <c r="EW51" s="70"/>
      <c r="EX51" s="70"/>
      <c r="EY51" s="70"/>
      <c r="EZ51" s="70"/>
      <c r="FA51" s="70"/>
      <c r="FB51" s="69"/>
      <c r="FC51" s="69"/>
      <c r="FD51" s="69"/>
      <c r="FE51" s="69"/>
      <c r="FF51" s="69"/>
      <c r="FG51" s="69"/>
      <c r="FH51" s="69"/>
      <c r="FI51" s="69"/>
      <c r="FJ51" s="69"/>
      <c r="FK51" s="69"/>
      <c r="FL51" s="69"/>
      <c r="FM51" s="69"/>
      <c r="FN51" s="69"/>
      <c r="FO51" s="69"/>
      <c r="FP51" s="69"/>
      <c r="FQ51" s="69"/>
      <c r="FR51" s="69"/>
      <c r="FS51" s="69"/>
      <c r="FT51" s="69"/>
      <c r="FU51" s="69"/>
      <c r="FV51" s="69"/>
      <c r="FW51" s="69"/>
      <c r="FX51" s="69"/>
      <c r="FY51" s="69"/>
      <c r="FZ51" s="69"/>
      <c r="GA51" s="69"/>
      <c r="GB51" s="69"/>
      <c r="GC51" s="69"/>
      <c r="GD51" s="69"/>
      <c r="GE51" s="69"/>
      <c r="GF51" s="69"/>
      <c r="GG51" s="69"/>
      <c r="GH51" s="69"/>
    </row>
    <row r="52" spans="1:190" s="68" customFormat="1" ht="20.100000000000001" hidden="1" customHeight="1" x14ac:dyDescent="0.2">
      <c r="B52" s="917" t="s">
        <v>13</v>
      </c>
      <c r="C52" s="917"/>
      <c r="D52" s="917"/>
      <c r="E52" s="917"/>
      <c r="F52" s="917"/>
      <c r="G52" s="917"/>
      <c r="H52" s="917"/>
      <c r="I52" s="917"/>
      <c r="J52" s="917"/>
      <c r="K52" s="917"/>
      <c r="L52" s="917"/>
      <c r="M52" s="918"/>
      <c r="N52" s="81"/>
      <c r="O52" s="923">
        <f>SUM(IDOSO!K22)*IDOSO!V32</f>
        <v>130</v>
      </c>
      <c r="P52" s="913"/>
      <c r="Q52" s="913"/>
      <c r="R52" s="913"/>
      <c r="S52" s="913"/>
      <c r="T52" s="913"/>
      <c r="U52" s="913"/>
      <c r="V52" s="913"/>
      <c r="W52" s="913"/>
      <c r="X52" s="913"/>
      <c r="Y52" s="913"/>
      <c r="Z52" s="913"/>
      <c r="AA52" s="913"/>
      <c r="AB52" s="913"/>
      <c r="AC52" s="913"/>
      <c r="AD52" s="913"/>
      <c r="AE52" s="913"/>
      <c r="AF52" s="914"/>
      <c r="AG52" s="70"/>
      <c r="AH52" s="923">
        <f>IDOSO!K22*IDOSO!V31</f>
        <v>130</v>
      </c>
      <c r="AI52" s="913"/>
      <c r="AJ52" s="913"/>
      <c r="AK52" s="913"/>
      <c r="AL52" s="913"/>
      <c r="AM52" s="913"/>
      <c r="AN52" s="913"/>
      <c r="AO52" s="913"/>
      <c r="AP52" s="913"/>
      <c r="AQ52" s="913"/>
      <c r="AR52" s="913"/>
      <c r="AS52" s="913"/>
      <c r="AT52" s="913"/>
      <c r="AU52" s="913"/>
      <c r="AV52" s="913"/>
      <c r="AW52" s="913"/>
      <c r="AX52" s="913"/>
      <c r="AY52" s="913"/>
      <c r="AZ52" s="913"/>
      <c r="BA52" s="913"/>
      <c r="BB52" s="913"/>
      <c r="BC52" s="913"/>
      <c r="BD52" s="913"/>
      <c r="BE52" s="913"/>
      <c r="BF52" s="913"/>
      <c r="BG52" s="913"/>
      <c r="BH52" s="913"/>
      <c r="BI52" s="79"/>
      <c r="BJ52" s="913"/>
      <c r="BK52" s="913"/>
      <c r="BL52" s="913"/>
      <c r="BM52" s="913"/>
      <c r="BN52" s="913"/>
      <c r="BO52" s="913"/>
      <c r="BP52" s="913"/>
      <c r="BQ52" s="913"/>
      <c r="BR52" s="913"/>
      <c r="BS52" s="913">
        <f>SUM(IDOSO!K22)*IDOSO!V37/TUTORIAL!V143</f>
        <v>26</v>
      </c>
      <c r="BT52" s="913"/>
      <c r="BU52" s="913"/>
      <c r="BV52" s="913"/>
      <c r="BW52" s="913"/>
      <c r="BX52" s="913"/>
      <c r="BY52" s="913"/>
      <c r="BZ52" s="913"/>
      <c r="CA52" s="914"/>
      <c r="CB52" s="70"/>
      <c r="CC52" s="923">
        <f>IDOSO!K22*IDOSO!V39</f>
        <v>130</v>
      </c>
      <c r="CD52" s="913"/>
      <c r="CE52" s="913"/>
      <c r="CF52" s="913"/>
      <c r="CG52" s="913"/>
      <c r="CH52" s="913"/>
      <c r="CI52" s="913"/>
      <c r="CJ52" s="913"/>
      <c r="CK52" s="914"/>
      <c r="CL52" s="1"/>
      <c r="CM52" s="72"/>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70"/>
      <c r="ES52" s="70"/>
      <c r="ET52" s="70"/>
      <c r="EU52" s="70"/>
      <c r="EV52" s="70"/>
      <c r="EW52" s="70"/>
      <c r="EX52" s="70"/>
      <c r="EY52" s="70"/>
      <c r="EZ52" s="70"/>
      <c r="FA52" s="70"/>
      <c r="FB52" s="69"/>
      <c r="FC52" s="69"/>
      <c r="FD52" s="69"/>
      <c r="FE52" s="69"/>
      <c r="FF52" s="69"/>
      <c r="FG52" s="69"/>
      <c r="FH52" s="69"/>
      <c r="FI52" s="69"/>
      <c r="FJ52" s="69"/>
      <c r="FK52" s="69"/>
      <c r="FL52" s="69"/>
      <c r="FM52" s="69"/>
      <c r="FN52" s="69"/>
      <c r="FO52" s="69"/>
      <c r="FP52" s="69"/>
      <c r="FQ52" s="69"/>
      <c r="FR52" s="69"/>
      <c r="FS52" s="69"/>
      <c r="FT52" s="69"/>
      <c r="FU52" s="69"/>
      <c r="FV52" s="69"/>
      <c r="FW52" s="69"/>
      <c r="FX52" s="69"/>
      <c r="FY52" s="69"/>
      <c r="FZ52" s="69"/>
      <c r="GA52" s="69"/>
      <c r="GB52" s="69"/>
      <c r="GC52" s="69"/>
      <c r="GD52" s="69"/>
      <c r="GE52" s="69"/>
      <c r="GF52" s="69"/>
      <c r="GG52" s="69"/>
      <c r="GH52" s="69"/>
    </row>
    <row r="53" spans="1:190" s="68" customFormat="1" ht="27" hidden="1" customHeight="1" x14ac:dyDescent="0.2">
      <c r="B53" s="915" t="s">
        <v>446</v>
      </c>
      <c r="C53" s="915"/>
      <c r="D53" s="915"/>
      <c r="E53" s="915"/>
      <c r="F53" s="915"/>
      <c r="G53" s="915"/>
      <c r="H53" s="915"/>
      <c r="I53" s="915"/>
      <c r="J53" s="915"/>
      <c r="K53" s="915"/>
      <c r="L53" s="915"/>
      <c r="M53" s="916"/>
      <c r="N53" s="81"/>
      <c r="O53" s="963"/>
      <c r="P53" s="924"/>
      <c r="Q53" s="924"/>
      <c r="R53" s="924"/>
      <c r="S53" s="924"/>
      <c r="T53" s="924"/>
      <c r="U53" s="924"/>
      <c r="V53" s="924"/>
      <c r="W53" s="924"/>
      <c r="X53" s="924">
        <f>SUM(IDOSO!M22:P22)*IDOSO!V34</f>
        <v>102</v>
      </c>
      <c r="Y53" s="924"/>
      <c r="Z53" s="924"/>
      <c r="AA53" s="924"/>
      <c r="AB53" s="924"/>
      <c r="AC53" s="924"/>
      <c r="AD53" s="924"/>
      <c r="AE53" s="924"/>
      <c r="AF53" s="962"/>
      <c r="AG53" s="70"/>
      <c r="AH53" s="963"/>
      <c r="AI53" s="924"/>
      <c r="AJ53" s="924"/>
      <c r="AK53" s="924"/>
      <c r="AL53" s="924"/>
      <c r="AM53" s="924"/>
      <c r="AN53" s="924"/>
      <c r="AO53" s="924"/>
      <c r="AP53" s="924"/>
      <c r="AQ53" s="924">
        <f>SUM(IDOSO!M22:P22)*IDOSO!V33</f>
        <v>102</v>
      </c>
      <c r="AR53" s="924"/>
      <c r="AS53" s="924"/>
      <c r="AT53" s="924"/>
      <c r="AU53" s="924"/>
      <c r="AV53" s="924"/>
      <c r="AW53" s="924"/>
      <c r="AX53" s="924"/>
      <c r="AY53" s="924"/>
      <c r="AZ53" s="924"/>
      <c r="BA53" s="924"/>
      <c r="BB53" s="924"/>
      <c r="BC53" s="924"/>
      <c r="BD53" s="924"/>
      <c r="BE53" s="924"/>
      <c r="BF53" s="924"/>
      <c r="BG53" s="924"/>
      <c r="BH53" s="924"/>
      <c r="BI53" s="79"/>
      <c r="BJ53" s="924"/>
      <c r="BK53" s="924"/>
      <c r="BL53" s="924"/>
      <c r="BM53" s="924"/>
      <c r="BN53" s="924"/>
      <c r="BO53" s="924"/>
      <c r="BP53" s="924"/>
      <c r="BQ53" s="924"/>
      <c r="BR53" s="924"/>
      <c r="BS53" s="924"/>
      <c r="BT53" s="924"/>
      <c r="BU53" s="924"/>
      <c r="BV53" s="924"/>
      <c r="BW53" s="924"/>
      <c r="BX53" s="924"/>
      <c r="BY53" s="924"/>
      <c r="BZ53" s="924"/>
      <c r="CA53" s="962"/>
      <c r="CB53" s="70"/>
      <c r="CC53" s="963"/>
      <c r="CD53" s="924"/>
      <c r="CE53" s="924"/>
      <c r="CF53" s="924"/>
      <c r="CG53" s="924"/>
      <c r="CH53" s="924"/>
      <c r="CI53" s="924"/>
      <c r="CJ53" s="924"/>
      <c r="CK53" s="962"/>
      <c r="CL53" s="1"/>
      <c r="CM53" s="72"/>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70"/>
      <c r="ES53" s="70"/>
      <c r="ET53" s="70"/>
      <c r="EU53" s="70"/>
      <c r="EV53" s="70"/>
      <c r="EW53" s="70"/>
      <c r="EX53" s="70"/>
      <c r="EY53" s="70"/>
      <c r="EZ53" s="70"/>
      <c r="FA53" s="70"/>
      <c r="FB53" s="69"/>
      <c r="FC53" s="69"/>
      <c r="FD53" s="69"/>
      <c r="FE53" s="69"/>
      <c r="FF53" s="69"/>
      <c r="FG53" s="69"/>
      <c r="FH53" s="69"/>
      <c r="FI53" s="69"/>
      <c r="FJ53" s="69"/>
      <c r="FK53" s="69"/>
      <c r="FL53" s="69"/>
      <c r="FM53" s="69"/>
      <c r="FN53" s="69"/>
      <c r="FO53" s="69"/>
      <c r="FP53" s="69"/>
      <c r="FQ53" s="69"/>
      <c r="FR53" s="69"/>
      <c r="FS53" s="69"/>
      <c r="FT53" s="69"/>
      <c r="FU53" s="69"/>
      <c r="FV53" s="69"/>
      <c r="FW53" s="69"/>
      <c r="FX53" s="69"/>
      <c r="FY53" s="69"/>
      <c r="FZ53" s="69"/>
      <c r="GA53" s="69"/>
      <c r="GB53" s="69"/>
      <c r="GC53" s="69"/>
      <c r="GD53" s="69"/>
      <c r="GE53" s="69"/>
      <c r="GF53" s="69"/>
      <c r="GG53" s="69"/>
      <c r="GH53" s="69"/>
    </row>
    <row r="54" spans="1:190" s="68" customFormat="1" ht="20.100000000000001" hidden="1" customHeight="1" x14ac:dyDescent="0.2">
      <c r="B54" s="921" t="s">
        <v>447</v>
      </c>
      <c r="C54" s="921"/>
      <c r="D54" s="921"/>
      <c r="E54" s="921"/>
      <c r="F54" s="921"/>
      <c r="G54" s="921"/>
      <c r="H54" s="921"/>
      <c r="I54" s="921"/>
      <c r="J54" s="921"/>
      <c r="K54" s="921"/>
      <c r="L54" s="921"/>
      <c r="M54" s="922"/>
      <c r="N54" s="81"/>
      <c r="O54" s="919"/>
      <c r="P54" s="920"/>
      <c r="Q54" s="920"/>
      <c r="R54" s="920"/>
      <c r="S54" s="920"/>
      <c r="T54" s="920"/>
      <c r="U54" s="920"/>
      <c r="V54" s="920"/>
      <c r="W54" s="920"/>
      <c r="X54" s="920">
        <f>SUM(IDOSO!Q22)*IDOSO!V36</f>
        <v>28</v>
      </c>
      <c r="Y54" s="920"/>
      <c r="Z54" s="920"/>
      <c r="AA54" s="920"/>
      <c r="AB54" s="920"/>
      <c r="AC54" s="920"/>
      <c r="AD54" s="920"/>
      <c r="AE54" s="920"/>
      <c r="AF54" s="925"/>
      <c r="AG54" s="70"/>
      <c r="AH54" s="919"/>
      <c r="AI54" s="920"/>
      <c r="AJ54" s="920"/>
      <c r="AK54" s="920"/>
      <c r="AL54" s="920"/>
      <c r="AM54" s="920"/>
      <c r="AN54" s="920"/>
      <c r="AO54" s="920"/>
      <c r="AP54" s="920"/>
      <c r="AQ54" s="920">
        <f>IDOSO!Q22*IDOSO!V35</f>
        <v>28</v>
      </c>
      <c r="AR54" s="920"/>
      <c r="AS54" s="920"/>
      <c r="AT54" s="920"/>
      <c r="AU54" s="920"/>
      <c r="AV54" s="920"/>
      <c r="AW54" s="920"/>
      <c r="AX54" s="920"/>
      <c r="AY54" s="920"/>
      <c r="AZ54" s="920"/>
      <c r="BA54" s="920"/>
      <c r="BB54" s="920"/>
      <c r="BC54" s="920"/>
      <c r="BD54" s="920"/>
      <c r="BE54" s="920"/>
      <c r="BF54" s="920"/>
      <c r="BG54" s="920"/>
      <c r="BH54" s="920"/>
      <c r="BI54" s="79"/>
      <c r="BJ54" s="920">
        <f>IDOSO!Q22*IDOSO!V38</f>
        <v>336</v>
      </c>
      <c r="BK54" s="920"/>
      <c r="BL54" s="920"/>
      <c r="BM54" s="920"/>
      <c r="BN54" s="920"/>
      <c r="BO54" s="920"/>
      <c r="BP54" s="920"/>
      <c r="BQ54" s="920"/>
      <c r="BR54" s="920"/>
      <c r="BS54" s="920"/>
      <c r="BT54" s="920"/>
      <c r="BU54" s="920"/>
      <c r="BV54" s="920"/>
      <c r="BW54" s="920"/>
      <c r="BX54" s="920"/>
      <c r="BY54" s="920"/>
      <c r="BZ54" s="920"/>
      <c r="CA54" s="925"/>
      <c r="CB54" s="70"/>
      <c r="CC54" s="919"/>
      <c r="CD54" s="920"/>
      <c r="CE54" s="920"/>
      <c r="CF54" s="920"/>
      <c r="CG54" s="920"/>
      <c r="CH54" s="920"/>
      <c r="CI54" s="920"/>
      <c r="CJ54" s="920"/>
      <c r="CK54" s="925"/>
      <c r="CL54" s="1"/>
      <c r="CM54" s="72"/>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70"/>
      <c r="ES54" s="70"/>
      <c r="ET54" s="70"/>
      <c r="EU54" s="70"/>
      <c r="EV54" s="70"/>
      <c r="EW54" s="70"/>
      <c r="EX54" s="70"/>
      <c r="EY54" s="70"/>
      <c r="EZ54" s="70"/>
      <c r="FA54" s="70"/>
      <c r="FB54" s="69"/>
      <c r="FC54" s="69"/>
      <c r="FD54" s="69"/>
      <c r="FE54" s="69"/>
      <c r="FF54" s="69"/>
      <c r="FG54" s="69"/>
      <c r="FH54" s="69"/>
      <c r="FI54" s="69"/>
      <c r="FJ54" s="69"/>
      <c r="FK54" s="69"/>
      <c r="FL54" s="69"/>
      <c r="FM54" s="69"/>
      <c r="FN54" s="69"/>
      <c r="FO54" s="69"/>
      <c r="FP54" s="69"/>
      <c r="FQ54" s="69"/>
      <c r="FR54" s="69"/>
      <c r="FS54" s="69"/>
      <c r="FT54" s="69"/>
      <c r="FU54" s="69"/>
      <c r="FV54" s="69"/>
      <c r="FW54" s="69"/>
      <c r="FX54" s="69"/>
      <c r="FY54" s="69"/>
      <c r="FZ54" s="69"/>
      <c r="GA54" s="69"/>
      <c r="GB54" s="69"/>
      <c r="GC54" s="69"/>
      <c r="GD54" s="69"/>
      <c r="GE54" s="69"/>
      <c r="GF54" s="69"/>
      <c r="GG54" s="69"/>
      <c r="GH54" s="69"/>
    </row>
    <row r="55" spans="1:190" s="89" customFormat="1" ht="42.75" hidden="1" customHeight="1" x14ac:dyDescent="0.2">
      <c r="B55" s="1011" t="s">
        <v>692</v>
      </c>
      <c r="C55" s="1011"/>
      <c r="D55" s="1011"/>
      <c r="E55" s="1011"/>
      <c r="F55" s="1011"/>
      <c r="G55" s="1011"/>
      <c r="H55" s="1003">
        <f>((CADASTRO!BS27*(IDOSO!N11+IDOSO!N12)*DIABÉTICO!G18*DIABÉTICO!N24)+((CADASTRO!BS28+CADASTRO!BS29+CADASTRO!BS30+CADASTRO!BS31)*(IDOSO!N11+IDOSO!N12)*DIABÉTICO!G19*DIABÉTICO!N24))*(100%-DIABÉTICO!S17)</f>
        <v>7.0056000000000003</v>
      </c>
      <c r="I55" s="1003"/>
      <c r="J55" s="1003"/>
      <c r="K55" s="1003"/>
      <c r="L55" s="1003"/>
      <c r="M55" s="1004"/>
      <c r="N55" s="90"/>
      <c r="O55" s="1007">
        <f>H55*IDOSO!V32</f>
        <v>7.0056000000000003</v>
      </c>
      <c r="P55" s="1007"/>
      <c r="Q55" s="1007"/>
      <c r="R55" s="1007"/>
      <c r="S55" s="1007"/>
      <c r="T55" s="1007"/>
      <c r="U55" s="1007"/>
      <c r="V55" s="1007"/>
      <c r="W55" s="1008"/>
      <c r="X55" s="904"/>
      <c r="Y55" s="904"/>
      <c r="Z55" s="904"/>
      <c r="AA55" s="904"/>
      <c r="AB55" s="904"/>
      <c r="AC55" s="904"/>
      <c r="AD55" s="904"/>
      <c r="AE55" s="904"/>
      <c r="AF55" s="905"/>
      <c r="AG55" s="91"/>
      <c r="AH55" s="908">
        <f>H55*IDOSO!V31</f>
        <v>7.0056000000000003</v>
      </c>
      <c r="AI55" s="904"/>
      <c r="AJ55" s="904"/>
      <c r="AK55" s="904"/>
      <c r="AL55" s="904"/>
      <c r="AM55" s="904"/>
      <c r="AN55" s="904"/>
      <c r="AO55" s="904"/>
      <c r="AP55" s="904"/>
      <c r="AQ55" s="904"/>
      <c r="AR55" s="904"/>
      <c r="AS55" s="904"/>
      <c r="AT55" s="904"/>
      <c r="AU55" s="904"/>
      <c r="AV55" s="904"/>
      <c r="AW55" s="904"/>
      <c r="AX55" s="904"/>
      <c r="AY55" s="904"/>
      <c r="AZ55" s="904">
        <f>((CADASTRO!BS27*IDOSO!N11*DIABÉTICO!G18*DIABÉTICO!N24)+((CADASTRO!BS28+CADASTRO!BS29+CADASTRO!BS30+CADASTRO!BS31)*IDOSO!N11*DIABÉTICO!G19*DIABÉTICO!N24))</f>
        <v>8.7570000000000014</v>
      </c>
      <c r="BA55" s="904"/>
      <c r="BB55" s="904"/>
      <c r="BC55" s="904"/>
      <c r="BD55" s="904"/>
      <c r="BE55" s="904"/>
      <c r="BF55" s="904"/>
      <c r="BG55" s="904"/>
      <c r="BH55" s="904"/>
      <c r="BI55" s="92"/>
      <c r="BS55" s="904">
        <f>H55*IDOSO!V37/TUTORIAL!V143</f>
        <v>1.4011200000000001</v>
      </c>
      <c r="BT55" s="904"/>
      <c r="BU55" s="904"/>
      <c r="BV55" s="904"/>
      <c r="BW55" s="904"/>
      <c r="BX55" s="904"/>
      <c r="BY55" s="904"/>
      <c r="BZ55" s="904"/>
      <c r="CA55" s="905"/>
      <c r="CB55" s="91"/>
      <c r="CC55" s="908">
        <f>H55*IDOSO!V39</f>
        <v>7.0056000000000003</v>
      </c>
      <c r="CD55" s="904"/>
      <c r="CE55" s="904"/>
      <c r="CF55" s="904"/>
      <c r="CG55" s="904"/>
      <c r="CH55" s="904"/>
      <c r="CI55" s="904"/>
      <c r="CJ55" s="904"/>
      <c r="CK55" s="905"/>
      <c r="CL55" s="93"/>
      <c r="CM55" s="72"/>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70"/>
      <c r="ES55" s="70"/>
      <c r="ET55" s="70"/>
      <c r="EU55" s="70"/>
      <c r="EV55" s="70"/>
      <c r="EW55" s="70"/>
      <c r="EX55" s="70"/>
      <c r="EY55" s="70"/>
      <c r="EZ55" s="70"/>
      <c r="FA55" s="70"/>
      <c r="FB55" s="94"/>
      <c r="FC55" s="94"/>
      <c r="FD55" s="94"/>
      <c r="FE55" s="94"/>
      <c r="FF55" s="94"/>
      <c r="FG55" s="94"/>
      <c r="FH55" s="94"/>
      <c r="FI55" s="94"/>
      <c r="FJ55" s="94"/>
      <c r="FK55" s="94"/>
      <c r="FL55" s="94"/>
      <c r="FM55" s="94"/>
      <c r="FN55" s="94"/>
      <c r="FO55" s="94"/>
      <c r="FP55" s="94"/>
      <c r="FQ55" s="94"/>
      <c r="FR55" s="94"/>
      <c r="FS55" s="94"/>
      <c r="FT55" s="94"/>
      <c r="FU55" s="94"/>
      <c r="FV55" s="94"/>
      <c r="FW55" s="94"/>
      <c r="FX55" s="94"/>
      <c r="FY55" s="94"/>
      <c r="FZ55" s="94"/>
      <c r="GA55" s="94"/>
      <c r="GB55" s="94"/>
      <c r="GC55" s="94"/>
      <c r="GD55" s="94"/>
      <c r="GE55" s="94"/>
      <c r="GF55" s="94"/>
      <c r="GG55" s="94"/>
      <c r="GH55" s="94"/>
    </row>
    <row r="56" spans="1:190" s="89" customFormat="1" ht="42.75" hidden="1" customHeight="1" x14ac:dyDescent="0.2">
      <c r="B56" s="1011" t="s">
        <v>451</v>
      </c>
      <c r="C56" s="1011"/>
      <c r="D56" s="1011"/>
      <c r="E56" s="1011"/>
      <c r="F56" s="1011"/>
      <c r="G56" s="1011"/>
      <c r="H56" s="1003">
        <f>(H55*DIABÉTICO!S12)+(DIABÉTICO!S13*H55)</f>
        <v>4.9039200000000003</v>
      </c>
      <c r="I56" s="1003"/>
      <c r="J56" s="1003"/>
      <c r="K56" s="1003"/>
      <c r="L56" s="1003"/>
      <c r="M56" s="1004"/>
      <c r="N56" s="90"/>
      <c r="O56" s="1021"/>
      <c r="P56" s="1021"/>
      <c r="Q56" s="1021"/>
      <c r="R56" s="1021"/>
      <c r="S56" s="1021"/>
      <c r="T56" s="1021"/>
      <c r="U56" s="1021"/>
      <c r="V56" s="1021"/>
      <c r="W56" s="1022"/>
      <c r="X56" s="904">
        <f>H56*IDOSO!V34</f>
        <v>4.9039200000000003</v>
      </c>
      <c r="Y56" s="904"/>
      <c r="Z56" s="904"/>
      <c r="AA56" s="904"/>
      <c r="AB56" s="904"/>
      <c r="AC56" s="904"/>
      <c r="AD56" s="904"/>
      <c r="AE56" s="904"/>
      <c r="AF56" s="905"/>
      <c r="AG56" s="91"/>
      <c r="AH56" s="908"/>
      <c r="AI56" s="904"/>
      <c r="AJ56" s="904"/>
      <c r="AK56" s="904"/>
      <c r="AL56" s="904"/>
      <c r="AM56" s="904"/>
      <c r="AN56" s="904"/>
      <c r="AO56" s="904"/>
      <c r="AP56" s="904"/>
      <c r="AQ56" s="904">
        <f>H56*IDOSO!V33</f>
        <v>4.9039200000000003</v>
      </c>
      <c r="AR56" s="904"/>
      <c r="AS56" s="904"/>
      <c r="AT56" s="904"/>
      <c r="AU56" s="904"/>
      <c r="AV56" s="904"/>
      <c r="AW56" s="904"/>
      <c r="AX56" s="904"/>
      <c r="AY56" s="904"/>
      <c r="AZ56" s="904"/>
      <c r="BA56" s="904"/>
      <c r="BB56" s="904"/>
      <c r="BC56" s="904"/>
      <c r="BD56" s="904"/>
      <c r="BE56" s="904"/>
      <c r="BF56" s="904"/>
      <c r="BG56" s="904"/>
      <c r="BH56" s="904"/>
      <c r="BI56" s="92"/>
      <c r="BJ56" s="904"/>
      <c r="BK56" s="904"/>
      <c r="BL56" s="904"/>
      <c r="BM56" s="904"/>
      <c r="BN56" s="904"/>
      <c r="BO56" s="904"/>
      <c r="BP56" s="904"/>
      <c r="BQ56" s="904"/>
      <c r="BR56" s="904"/>
      <c r="BS56" s="904"/>
      <c r="BT56" s="904"/>
      <c r="BU56" s="904"/>
      <c r="BV56" s="904"/>
      <c r="BW56" s="904"/>
      <c r="BX56" s="904"/>
      <c r="BY56" s="904"/>
      <c r="BZ56" s="904"/>
      <c r="CA56" s="905"/>
      <c r="CB56" s="91"/>
      <c r="CC56" s="908"/>
      <c r="CD56" s="904"/>
      <c r="CE56" s="904"/>
      <c r="CF56" s="904"/>
      <c r="CG56" s="904"/>
      <c r="CH56" s="904"/>
      <c r="CI56" s="904"/>
      <c r="CJ56" s="904"/>
      <c r="CK56" s="905"/>
      <c r="CL56" s="93"/>
      <c r="CM56" s="72"/>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70"/>
      <c r="ES56" s="70"/>
      <c r="ET56" s="70"/>
      <c r="EU56" s="70"/>
      <c r="EV56" s="70"/>
      <c r="EW56" s="70"/>
      <c r="EX56" s="70"/>
      <c r="EY56" s="70"/>
      <c r="EZ56" s="70"/>
      <c r="FA56" s="70"/>
      <c r="FB56" s="94"/>
      <c r="FC56" s="94"/>
      <c r="FD56" s="94"/>
      <c r="FE56" s="94"/>
      <c r="FF56" s="94"/>
      <c r="FG56" s="94"/>
      <c r="FH56" s="94"/>
      <c r="FI56" s="94"/>
      <c r="FJ56" s="94"/>
      <c r="FK56" s="94"/>
      <c r="FL56" s="94"/>
      <c r="FM56" s="94"/>
      <c r="FN56" s="94"/>
      <c r="FO56" s="94"/>
      <c r="FP56" s="94"/>
      <c r="FQ56" s="94"/>
      <c r="FR56" s="94"/>
      <c r="FS56" s="94"/>
      <c r="FT56" s="94"/>
      <c r="FU56" s="94"/>
      <c r="FV56" s="94"/>
      <c r="FW56" s="94"/>
      <c r="FX56" s="94"/>
      <c r="FY56" s="94"/>
      <c r="FZ56" s="94"/>
      <c r="GA56" s="94"/>
      <c r="GB56" s="94"/>
      <c r="GC56" s="94"/>
      <c r="GD56" s="94"/>
      <c r="GE56" s="94"/>
      <c r="GF56" s="94"/>
      <c r="GG56" s="94"/>
      <c r="GH56" s="94"/>
    </row>
    <row r="57" spans="1:190" s="89" customFormat="1" ht="42.75" hidden="1" customHeight="1" x14ac:dyDescent="0.2">
      <c r="B57" s="1011" t="s">
        <v>452</v>
      </c>
      <c r="C57" s="1011"/>
      <c r="D57" s="1011"/>
      <c r="E57" s="1011"/>
      <c r="F57" s="1011"/>
      <c r="G57" s="1011"/>
      <c r="H57" s="1003">
        <f>(H55*DIABÉTICO!S14)+(DIABÉTICO!S15*H55)</f>
        <v>2.10168</v>
      </c>
      <c r="I57" s="1003"/>
      <c r="J57" s="1003"/>
      <c r="K57" s="1003"/>
      <c r="L57" s="1003"/>
      <c r="M57" s="1004"/>
      <c r="N57" s="90"/>
      <c r="O57" s="1007"/>
      <c r="P57" s="1007"/>
      <c r="Q57" s="1007"/>
      <c r="R57" s="1007"/>
      <c r="S57" s="1007"/>
      <c r="T57" s="1007"/>
      <c r="U57" s="1007"/>
      <c r="V57" s="1007"/>
      <c r="W57" s="1008"/>
      <c r="X57" s="904">
        <f>H57*IDOSO!V36</f>
        <v>2.10168</v>
      </c>
      <c r="Y57" s="904"/>
      <c r="Z57" s="904"/>
      <c r="AA57" s="904"/>
      <c r="AB57" s="904"/>
      <c r="AC57" s="904"/>
      <c r="AD57" s="904"/>
      <c r="AE57" s="904"/>
      <c r="AF57" s="905"/>
      <c r="AG57" s="91"/>
      <c r="AH57" s="908"/>
      <c r="AI57" s="904"/>
      <c r="AJ57" s="904"/>
      <c r="AK57" s="904"/>
      <c r="AL57" s="904"/>
      <c r="AM57" s="904"/>
      <c r="AN57" s="904"/>
      <c r="AO57" s="904"/>
      <c r="AP57" s="904"/>
      <c r="AQ57" s="904">
        <f>H57*IDOSO!V35</f>
        <v>2.10168</v>
      </c>
      <c r="AR57" s="904"/>
      <c r="AS57" s="904"/>
      <c r="AT57" s="904"/>
      <c r="AU57" s="904"/>
      <c r="AV57" s="904"/>
      <c r="AW57" s="904"/>
      <c r="AX57" s="904"/>
      <c r="AY57" s="904"/>
      <c r="AZ57" s="904"/>
      <c r="BA57" s="904"/>
      <c r="BB57" s="904"/>
      <c r="BC57" s="904"/>
      <c r="BD57" s="904"/>
      <c r="BE57" s="904"/>
      <c r="BF57" s="904"/>
      <c r="BG57" s="904"/>
      <c r="BH57" s="904"/>
      <c r="BI57" s="92"/>
      <c r="BJ57" s="904">
        <f>H57*IDOSO!V38</f>
        <v>25.22016</v>
      </c>
      <c r="BK57" s="904"/>
      <c r="BL57" s="904"/>
      <c r="BM57" s="904"/>
      <c r="BN57" s="904"/>
      <c r="BO57" s="904"/>
      <c r="BP57" s="904"/>
      <c r="BQ57" s="904"/>
      <c r="BR57" s="904"/>
      <c r="BS57" s="904"/>
      <c r="BT57" s="904"/>
      <c r="BU57" s="904"/>
      <c r="BV57" s="904"/>
      <c r="BW57" s="904"/>
      <c r="BX57" s="904"/>
      <c r="BY57" s="904"/>
      <c r="BZ57" s="904"/>
      <c r="CA57" s="905"/>
      <c r="CB57" s="91"/>
      <c r="CC57" s="908"/>
      <c r="CD57" s="904"/>
      <c r="CE57" s="904"/>
      <c r="CF57" s="904"/>
      <c r="CG57" s="904"/>
      <c r="CH57" s="904"/>
      <c r="CI57" s="904"/>
      <c r="CJ57" s="904"/>
      <c r="CK57" s="905"/>
      <c r="CL57" s="93"/>
      <c r="CM57" s="72"/>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70"/>
      <c r="ES57" s="70"/>
      <c r="ET57" s="70"/>
      <c r="EU57" s="70"/>
      <c r="EV57" s="70"/>
      <c r="EW57" s="70"/>
      <c r="EX57" s="70"/>
      <c r="EY57" s="70"/>
      <c r="EZ57" s="70"/>
      <c r="FA57" s="70"/>
      <c r="FB57" s="94"/>
      <c r="FC57" s="94"/>
      <c r="FD57" s="94"/>
      <c r="FE57" s="94"/>
      <c r="FF57" s="94"/>
      <c r="FG57" s="94"/>
      <c r="FH57" s="94"/>
      <c r="FI57" s="94"/>
      <c r="FJ57" s="94"/>
      <c r="FK57" s="94"/>
      <c r="FL57" s="94"/>
      <c r="FM57" s="94"/>
      <c r="FN57" s="94"/>
      <c r="FO57" s="94"/>
      <c r="FP57" s="94"/>
      <c r="FQ57" s="94"/>
      <c r="FR57" s="94"/>
      <c r="FS57" s="94"/>
      <c r="FT57" s="94"/>
      <c r="FU57" s="94"/>
      <c r="FV57" s="94"/>
      <c r="FW57" s="94"/>
      <c r="FX57" s="94"/>
      <c r="FY57" s="94"/>
      <c r="FZ57" s="94"/>
      <c r="GA57" s="94"/>
      <c r="GB57" s="94"/>
      <c r="GC57" s="94"/>
      <c r="GD57" s="94"/>
      <c r="GE57" s="94"/>
      <c r="GF57" s="94"/>
      <c r="GG57" s="94"/>
      <c r="GH57" s="94"/>
    </row>
    <row r="58" spans="1:190" s="95" customFormat="1" ht="41.25" hidden="1" customHeight="1" x14ac:dyDescent="0.2">
      <c r="B58" s="1015" t="s">
        <v>691</v>
      </c>
      <c r="C58" s="1015"/>
      <c r="D58" s="1015"/>
      <c r="E58" s="1015"/>
      <c r="F58" s="1015"/>
      <c r="G58" s="1015"/>
      <c r="H58" s="96"/>
      <c r="I58" s="1005">
        <f>(CADASTRO!BS27*(IDOSO!N11+IDOSO!N12)*HIPERTENSO!G18*HIPERTENSO!M24)+((CADASTRO!BS28+CADASTRO!BS29+CADASTRO!BS30+CADASTRO!BS31)*(IDOSO!N11+IDOSO!N12)*HIPERTENSO!G18*HIPERTENSO!M24)</f>
        <v>55.44</v>
      </c>
      <c r="J58" s="1005"/>
      <c r="K58" s="1005"/>
      <c r="L58" s="1005"/>
      <c r="M58" s="1006"/>
      <c r="N58" s="97"/>
      <c r="O58" s="1009">
        <f>I58*IDOSO!V32</f>
        <v>55.44</v>
      </c>
      <c r="P58" s="1009"/>
      <c r="Q58" s="1009"/>
      <c r="R58" s="1009"/>
      <c r="S58" s="1009"/>
      <c r="T58" s="1009"/>
      <c r="U58" s="1009"/>
      <c r="V58" s="1009"/>
      <c r="W58" s="1010"/>
      <c r="X58" s="1012"/>
      <c r="Y58" s="1012"/>
      <c r="Z58" s="1012"/>
      <c r="AA58" s="1012"/>
      <c r="AB58" s="1012"/>
      <c r="AC58" s="1012"/>
      <c r="AD58" s="1012"/>
      <c r="AE58" s="1012"/>
      <c r="AF58" s="1013"/>
      <c r="AG58" s="98"/>
      <c r="AH58" s="1014">
        <f>I58*IDOSO!V31</f>
        <v>55.44</v>
      </c>
      <c r="AI58" s="1012"/>
      <c r="AJ58" s="1012"/>
      <c r="AK58" s="1012"/>
      <c r="AL58" s="1012"/>
      <c r="AM58" s="1012"/>
      <c r="AN58" s="1012"/>
      <c r="AO58" s="1012"/>
      <c r="AP58" s="1012"/>
      <c r="AQ58" s="1012"/>
      <c r="AR58" s="1012"/>
      <c r="AS58" s="1012"/>
      <c r="AT58" s="1012"/>
      <c r="AU58" s="1012"/>
      <c r="AV58" s="1012"/>
      <c r="AW58" s="1012"/>
      <c r="AX58" s="1012"/>
      <c r="AY58" s="1012"/>
      <c r="AZ58" s="1012"/>
      <c r="BA58" s="1012"/>
      <c r="BB58" s="1012"/>
      <c r="BC58" s="1012"/>
      <c r="BD58" s="1012"/>
      <c r="BE58" s="1012"/>
      <c r="BF58" s="1012"/>
      <c r="BG58" s="1012"/>
      <c r="BH58" s="1012"/>
      <c r="BI58" s="99"/>
      <c r="BJ58" s="1012"/>
      <c r="BK58" s="1012"/>
      <c r="BL58" s="1012"/>
      <c r="BM58" s="1012"/>
      <c r="BN58" s="1012"/>
      <c r="BO58" s="1012"/>
      <c r="BP58" s="1012"/>
      <c r="BQ58" s="1012"/>
      <c r="BR58" s="1012"/>
      <c r="BS58" s="1012">
        <f>I58*IDOSO!V37/TUTORIAL!V143</f>
        <v>11.087999999999999</v>
      </c>
      <c r="BT58" s="1012"/>
      <c r="BU58" s="1012"/>
      <c r="BV58" s="1012"/>
      <c r="BW58" s="1012"/>
      <c r="BX58" s="1012"/>
      <c r="BY58" s="1012"/>
      <c r="BZ58" s="1012"/>
      <c r="CA58" s="1013"/>
      <c r="CB58" s="98"/>
      <c r="CC58" s="1014">
        <f>I58*IDOSO!V39</f>
        <v>55.44</v>
      </c>
      <c r="CD58" s="1012"/>
      <c r="CE58" s="1012"/>
      <c r="CF58" s="1012"/>
      <c r="CG58" s="1012"/>
      <c r="CH58" s="1012"/>
      <c r="CI58" s="1012"/>
      <c r="CJ58" s="1012"/>
      <c r="CK58" s="1013"/>
      <c r="CL58" s="100"/>
      <c r="CM58" s="72"/>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70"/>
      <c r="ES58" s="70"/>
      <c r="ET58" s="70"/>
      <c r="EU58" s="70"/>
      <c r="EV58" s="70"/>
      <c r="EW58" s="70"/>
      <c r="EX58" s="70"/>
      <c r="EY58" s="70"/>
      <c r="EZ58" s="70"/>
      <c r="FA58" s="70"/>
      <c r="FB58" s="101"/>
      <c r="FC58" s="101"/>
      <c r="FD58" s="101"/>
      <c r="FE58" s="101"/>
      <c r="FF58" s="101"/>
      <c r="FG58" s="101"/>
      <c r="FH58" s="101"/>
      <c r="FI58" s="101"/>
      <c r="FJ58" s="101"/>
      <c r="FK58" s="101"/>
      <c r="FL58" s="101"/>
      <c r="FM58" s="101"/>
      <c r="FN58" s="101"/>
      <c r="FO58" s="101"/>
      <c r="FP58" s="101"/>
      <c r="FQ58" s="101"/>
      <c r="FR58" s="101"/>
      <c r="FS58" s="101"/>
      <c r="FT58" s="101"/>
      <c r="FU58" s="101"/>
      <c r="FV58" s="101"/>
      <c r="FW58" s="101"/>
      <c r="FX58" s="101"/>
      <c r="FY58" s="101"/>
      <c r="FZ58" s="101"/>
      <c r="GA58" s="101"/>
      <c r="GB58" s="101"/>
      <c r="GC58" s="101"/>
      <c r="GD58" s="101"/>
      <c r="GE58" s="101"/>
      <c r="GF58" s="101"/>
      <c r="GG58" s="101"/>
      <c r="GH58" s="101"/>
    </row>
    <row r="59" spans="1:190" s="95" customFormat="1" ht="41.25" hidden="1" customHeight="1" x14ac:dyDescent="0.2">
      <c r="B59" s="1015" t="s">
        <v>451</v>
      </c>
      <c r="C59" s="1015"/>
      <c r="D59" s="1015"/>
      <c r="E59" s="1015"/>
      <c r="F59" s="1015"/>
      <c r="G59" s="1015"/>
      <c r="H59" s="96"/>
      <c r="I59" s="1005">
        <f>(I58*HIPERTENSO!S12)+(HIPERTENSO!S13*'CH Equipe'!I58)</f>
        <v>41.58</v>
      </c>
      <c r="J59" s="1005"/>
      <c r="K59" s="1005"/>
      <c r="L59" s="1005"/>
      <c r="M59" s="1006"/>
      <c r="N59" s="97"/>
      <c r="O59" s="1009"/>
      <c r="P59" s="1009"/>
      <c r="Q59" s="1009"/>
      <c r="R59" s="1009"/>
      <c r="S59" s="1009"/>
      <c r="T59" s="1009"/>
      <c r="U59" s="1009"/>
      <c r="V59" s="1009"/>
      <c r="W59" s="1010"/>
      <c r="X59" s="1012">
        <f>I59*IDOSO!V34</f>
        <v>41.58</v>
      </c>
      <c r="Y59" s="1012"/>
      <c r="Z59" s="1012"/>
      <c r="AA59" s="1012"/>
      <c r="AB59" s="1012"/>
      <c r="AC59" s="1012"/>
      <c r="AD59" s="1012"/>
      <c r="AE59" s="1012"/>
      <c r="AF59" s="1013"/>
      <c r="AG59" s="98"/>
      <c r="AH59" s="1014"/>
      <c r="AI59" s="1012"/>
      <c r="AJ59" s="1012"/>
      <c r="AK59" s="1012"/>
      <c r="AL59" s="1012"/>
      <c r="AM59" s="1012"/>
      <c r="AN59" s="1012"/>
      <c r="AO59" s="1012"/>
      <c r="AP59" s="1012"/>
      <c r="AQ59" s="1012">
        <f>I59*IDOSO!V33</f>
        <v>41.58</v>
      </c>
      <c r="AR59" s="1012"/>
      <c r="AS59" s="1012"/>
      <c r="AT59" s="1012"/>
      <c r="AU59" s="1012"/>
      <c r="AV59" s="1012"/>
      <c r="AW59" s="1012"/>
      <c r="AX59" s="1012"/>
      <c r="AY59" s="1012"/>
      <c r="AZ59" s="1012"/>
      <c r="BA59" s="1012"/>
      <c r="BB59" s="1012"/>
      <c r="BC59" s="1012"/>
      <c r="BD59" s="1012"/>
      <c r="BE59" s="1012"/>
      <c r="BF59" s="1012"/>
      <c r="BG59" s="1012"/>
      <c r="BH59" s="1012"/>
      <c r="BI59" s="99"/>
      <c r="BJ59" s="1012"/>
      <c r="BK59" s="1012"/>
      <c r="BL59" s="1012"/>
      <c r="BM59" s="1012"/>
      <c r="BN59" s="1012"/>
      <c r="BO59" s="1012"/>
      <c r="BP59" s="1012"/>
      <c r="BQ59" s="1012"/>
      <c r="BR59" s="1012"/>
      <c r="BS59" s="1012"/>
      <c r="BT59" s="1012"/>
      <c r="BU59" s="1012"/>
      <c r="BV59" s="1012"/>
      <c r="BW59" s="1012"/>
      <c r="BX59" s="1012"/>
      <c r="BY59" s="1012"/>
      <c r="BZ59" s="1012"/>
      <c r="CA59" s="1013"/>
      <c r="CB59" s="98"/>
      <c r="CC59" s="1014"/>
      <c r="CD59" s="1012"/>
      <c r="CE59" s="1012"/>
      <c r="CF59" s="1012"/>
      <c r="CG59" s="1012"/>
      <c r="CH59" s="1012"/>
      <c r="CI59" s="1012"/>
      <c r="CJ59" s="1012"/>
      <c r="CK59" s="1013"/>
      <c r="CL59" s="100"/>
      <c r="CM59" s="72"/>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70"/>
      <c r="ES59" s="70"/>
      <c r="ET59" s="70"/>
      <c r="EU59" s="70"/>
      <c r="EV59" s="70"/>
      <c r="EW59" s="70"/>
      <c r="EX59" s="70"/>
      <c r="EY59" s="70"/>
      <c r="EZ59" s="70"/>
      <c r="FA59" s="70"/>
      <c r="FB59" s="101"/>
      <c r="FC59" s="101"/>
      <c r="FD59" s="101"/>
      <c r="FE59" s="101"/>
      <c r="FF59" s="101"/>
      <c r="FG59" s="101"/>
      <c r="FH59" s="101"/>
      <c r="FI59" s="101"/>
      <c r="FJ59" s="101"/>
      <c r="FK59" s="101"/>
      <c r="FL59" s="101"/>
      <c r="FM59" s="101"/>
      <c r="FN59" s="101"/>
      <c r="FO59" s="101"/>
      <c r="FP59" s="101"/>
      <c r="FQ59" s="101"/>
      <c r="FR59" s="101"/>
      <c r="FS59" s="101"/>
      <c r="FT59" s="101"/>
      <c r="FU59" s="101"/>
      <c r="FV59" s="101"/>
      <c r="FW59" s="101"/>
      <c r="FX59" s="101"/>
      <c r="FY59" s="101"/>
      <c r="FZ59" s="101"/>
      <c r="GA59" s="101"/>
      <c r="GB59" s="101"/>
      <c r="GC59" s="101"/>
      <c r="GD59" s="101"/>
      <c r="GE59" s="101"/>
      <c r="GF59" s="101"/>
      <c r="GG59" s="101"/>
      <c r="GH59" s="101"/>
    </row>
    <row r="60" spans="1:190" s="95" customFormat="1" ht="41.25" hidden="1" customHeight="1" x14ac:dyDescent="0.2">
      <c r="B60" s="1023" t="s">
        <v>453</v>
      </c>
      <c r="C60" s="1023"/>
      <c r="D60" s="1023"/>
      <c r="E60" s="1023"/>
      <c r="F60" s="1023"/>
      <c r="G60" s="1023"/>
      <c r="H60" s="102"/>
      <c r="I60" s="1024">
        <f>I58*HIPERTENSO!S14</f>
        <v>13.86</v>
      </c>
      <c r="J60" s="1024"/>
      <c r="K60" s="1024"/>
      <c r="L60" s="1024"/>
      <c r="M60" s="1025"/>
      <c r="N60" s="97"/>
      <c r="O60" s="1009"/>
      <c r="P60" s="1009"/>
      <c r="Q60" s="1009"/>
      <c r="R60" s="1009"/>
      <c r="S60" s="1009"/>
      <c r="T60" s="1009"/>
      <c r="U60" s="1009"/>
      <c r="V60" s="1009"/>
      <c r="W60" s="1010"/>
      <c r="X60" s="1019">
        <f>I60*IDOSO!V36</f>
        <v>13.86</v>
      </c>
      <c r="Y60" s="1019"/>
      <c r="Z60" s="1019"/>
      <c r="AA60" s="1019"/>
      <c r="AB60" s="1019"/>
      <c r="AC60" s="1019"/>
      <c r="AD60" s="1019"/>
      <c r="AE60" s="1019"/>
      <c r="AF60" s="1020"/>
      <c r="AG60" s="98"/>
      <c r="AH60" s="1018"/>
      <c r="AI60" s="1019"/>
      <c r="AJ60" s="1019"/>
      <c r="AK60" s="1019"/>
      <c r="AL60" s="1019"/>
      <c r="AM60" s="1019"/>
      <c r="AN60" s="1019"/>
      <c r="AO60" s="1019"/>
      <c r="AP60" s="1019"/>
      <c r="AQ60" s="1019">
        <f>I60*IDOSO!V35</f>
        <v>13.86</v>
      </c>
      <c r="AR60" s="1019"/>
      <c r="AS60" s="1019"/>
      <c r="AT60" s="1019"/>
      <c r="AU60" s="1019"/>
      <c r="AV60" s="1019"/>
      <c r="AW60" s="1019"/>
      <c r="AX60" s="1019"/>
      <c r="AY60" s="1019"/>
      <c r="AZ60" s="1019"/>
      <c r="BA60" s="1019"/>
      <c r="BB60" s="1019"/>
      <c r="BC60" s="1019"/>
      <c r="BD60" s="1019"/>
      <c r="BE60" s="1019"/>
      <c r="BF60" s="1019"/>
      <c r="BG60" s="1019"/>
      <c r="BH60" s="1019"/>
      <c r="BI60" s="99"/>
      <c r="BJ60" s="1019">
        <f>I60*IDOSO!V38</f>
        <v>166.32</v>
      </c>
      <c r="BK60" s="1019"/>
      <c r="BL60" s="1019"/>
      <c r="BM60" s="1019"/>
      <c r="BN60" s="1019"/>
      <c r="BO60" s="1019"/>
      <c r="BP60" s="1019"/>
      <c r="BQ60" s="1019"/>
      <c r="BR60" s="1019"/>
      <c r="BS60" s="1019"/>
      <c r="BT60" s="1019"/>
      <c r="BU60" s="1019"/>
      <c r="BV60" s="1019"/>
      <c r="BW60" s="1019"/>
      <c r="BX60" s="1019"/>
      <c r="BY60" s="1019"/>
      <c r="BZ60" s="1019"/>
      <c r="CA60" s="1020"/>
      <c r="CB60" s="98"/>
      <c r="CC60" s="1018"/>
      <c r="CD60" s="1019"/>
      <c r="CE60" s="1019"/>
      <c r="CF60" s="1019"/>
      <c r="CG60" s="1019"/>
      <c r="CH60" s="1019"/>
      <c r="CI60" s="1019"/>
      <c r="CJ60" s="1019"/>
      <c r="CK60" s="1020"/>
      <c r="CL60" s="100"/>
      <c r="CM60" s="72"/>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70"/>
      <c r="ES60" s="70"/>
      <c r="ET60" s="70"/>
      <c r="EU60" s="70"/>
      <c r="EV60" s="70"/>
      <c r="EW60" s="70"/>
      <c r="EX60" s="70"/>
      <c r="EY60" s="70"/>
      <c r="EZ60" s="70"/>
      <c r="FA60" s="70"/>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row>
    <row r="61" spans="1:190" s="68" customFormat="1" ht="20.100000000000001" customHeight="1" x14ac:dyDescent="0.2">
      <c r="B61" s="891" t="s">
        <v>46</v>
      </c>
      <c r="C61" s="891"/>
      <c r="D61" s="891"/>
      <c r="E61" s="891"/>
      <c r="F61" s="891"/>
      <c r="G61" s="891"/>
      <c r="H61" s="891"/>
      <c r="I61" s="891"/>
      <c r="J61" s="891"/>
      <c r="K61" s="891"/>
      <c r="L61" s="891"/>
      <c r="M61" s="891"/>
      <c r="N61" s="81"/>
      <c r="O61" s="892">
        <f>SUM(O52:W54)-O55-O58</f>
        <v>67.554400000000001</v>
      </c>
      <c r="P61" s="892"/>
      <c r="Q61" s="892"/>
      <c r="R61" s="892"/>
      <c r="S61" s="892"/>
      <c r="T61" s="892"/>
      <c r="U61" s="892"/>
      <c r="V61" s="892"/>
      <c r="W61" s="892"/>
      <c r="X61" s="892">
        <f>SUM(X52:AF54)-(X56+X57+X59+X60)</f>
        <v>67.554400000000001</v>
      </c>
      <c r="Y61" s="892"/>
      <c r="Z61" s="892"/>
      <c r="AA61" s="892"/>
      <c r="AB61" s="892"/>
      <c r="AC61" s="892"/>
      <c r="AD61" s="892"/>
      <c r="AE61" s="892"/>
      <c r="AF61" s="892"/>
      <c r="AG61" s="70"/>
      <c r="AH61" s="892">
        <f>SUM(AH52:AP54)-AH55-AH58</f>
        <v>67.554400000000001</v>
      </c>
      <c r="AI61" s="892"/>
      <c r="AJ61" s="892"/>
      <c r="AK61" s="892"/>
      <c r="AL61" s="892"/>
      <c r="AM61" s="892"/>
      <c r="AN61" s="892"/>
      <c r="AO61" s="892"/>
      <c r="AP61" s="892"/>
      <c r="AQ61" s="892">
        <f>SUM(AQ52:AY54)-(AQ56+AQ57+AQ59+AQ60)</f>
        <v>67.554400000000001</v>
      </c>
      <c r="AR61" s="892"/>
      <c r="AS61" s="892"/>
      <c r="AT61" s="892"/>
      <c r="AU61" s="892"/>
      <c r="AV61" s="892"/>
      <c r="AW61" s="892"/>
      <c r="AX61" s="892"/>
      <c r="AY61" s="892"/>
      <c r="AZ61" s="892">
        <f>SUM(AZ52:BH54)</f>
        <v>0</v>
      </c>
      <c r="BA61" s="892"/>
      <c r="BB61" s="892"/>
      <c r="BC61" s="892"/>
      <c r="BD61" s="892"/>
      <c r="BE61" s="892"/>
      <c r="BF61" s="892"/>
      <c r="BG61" s="892"/>
      <c r="BH61" s="892"/>
      <c r="BI61" s="70"/>
      <c r="BJ61" s="892">
        <f>SUM(BJ52:BR54)-(BJ57+BJ60)</f>
        <v>144.45984000000001</v>
      </c>
      <c r="BK61" s="892"/>
      <c r="BL61" s="892"/>
      <c r="BM61" s="892"/>
      <c r="BN61" s="892"/>
      <c r="BO61" s="892"/>
      <c r="BP61" s="892"/>
      <c r="BQ61" s="892"/>
      <c r="BR61" s="892"/>
      <c r="BS61" s="892">
        <f>SUM(BS52:CA54)-(BS55+BS58)</f>
        <v>13.51088</v>
      </c>
      <c r="BT61" s="892"/>
      <c r="BU61" s="892"/>
      <c r="BV61" s="892"/>
      <c r="BW61" s="892"/>
      <c r="BX61" s="892"/>
      <c r="BY61" s="892"/>
      <c r="BZ61" s="892"/>
      <c r="CA61" s="892"/>
      <c r="CB61" s="70"/>
      <c r="CC61" s="892">
        <f>SUM(CC52:CK54)-(CC55+CC58)</f>
        <v>67.554400000000001</v>
      </c>
      <c r="CD61" s="892"/>
      <c r="CE61" s="892"/>
      <c r="CF61" s="892"/>
      <c r="CG61" s="892"/>
      <c r="CH61" s="892"/>
      <c r="CI61" s="892"/>
      <c r="CJ61" s="892"/>
      <c r="CK61" s="892"/>
      <c r="CL61" s="1"/>
      <c r="CM61" s="72"/>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70"/>
      <c r="ES61" s="70"/>
      <c r="ET61" s="70"/>
      <c r="EU61" s="70"/>
      <c r="EV61" s="70"/>
      <c r="EW61" s="70"/>
      <c r="EX61" s="70"/>
      <c r="EY61" s="70"/>
      <c r="EZ61" s="70"/>
      <c r="FA61" s="70"/>
      <c r="FB61" s="69"/>
      <c r="FC61" s="69"/>
      <c r="FD61" s="69"/>
      <c r="FE61" s="69"/>
      <c r="FF61" s="69"/>
      <c r="FG61" s="69"/>
      <c r="FH61" s="69"/>
      <c r="FI61" s="69"/>
      <c r="FJ61" s="69"/>
      <c r="FK61" s="69"/>
      <c r="FL61" s="69"/>
      <c r="FM61" s="69"/>
      <c r="FN61" s="69"/>
      <c r="FO61" s="69"/>
      <c r="FP61" s="69"/>
      <c r="FQ61" s="69"/>
      <c r="FR61" s="69"/>
      <c r="FS61" s="69"/>
      <c r="FT61" s="69"/>
      <c r="FU61" s="69"/>
      <c r="FV61" s="69"/>
      <c r="FW61" s="69"/>
      <c r="FX61" s="69"/>
      <c r="FY61" s="69"/>
      <c r="FZ61" s="69"/>
      <c r="GA61" s="69"/>
      <c r="GB61" s="69"/>
      <c r="GC61" s="69"/>
      <c r="GD61" s="69"/>
      <c r="GE61" s="69"/>
      <c r="GF61" s="69"/>
      <c r="GG61" s="69"/>
      <c r="GH61" s="69"/>
    </row>
    <row r="62" spans="1:190" s="68" customFormat="1" ht="7.5" customHeight="1" x14ac:dyDescent="0.2">
      <c r="B62" s="81"/>
      <c r="C62" s="81"/>
      <c r="D62" s="81"/>
      <c r="E62" s="81"/>
      <c r="F62" s="81"/>
      <c r="G62" s="81"/>
      <c r="H62" s="81"/>
      <c r="I62" s="81"/>
      <c r="J62" s="81"/>
      <c r="K62" s="81"/>
      <c r="L62" s="81"/>
      <c r="M62" s="81"/>
      <c r="N62" s="81"/>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1"/>
      <c r="CM62" s="72"/>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70"/>
      <c r="ES62" s="70"/>
      <c r="ET62" s="70"/>
      <c r="EU62" s="70"/>
      <c r="EV62" s="70"/>
      <c r="EW62" s="70"/>
      <c r="EX62" s="70"/>
      <c r="EY62" s="70"/>
      <c r="EZ62" s="70"/>
      <c r="FA62" s="70"/>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row>
    <row r="63" spans="1:190" s="68" customFormat="1" ht="20.100000000000001" hidden="1" customHeight="1" x14ac:dyDescent="0.2">
      <c r="B63" s="997" t="s">
        <v>455</v>
      </c>
      <c r="C63" s="997"/>
      <c r="D63" s="997"/>
      <c r="E63" s="997"/>
      <c r="F63" s="997"/>
      <c r="G63" s="997"/>
      <c r="H63" s="997"/>
      <c r="I63" s="997"/>
      <c r="J63" s="997"/>
      <c r="K63" s="997"/>
      <c r="L63" s="997"/>
      <c r="M63" s="997"/>
      <c r="N63" s="78"/>
      <c r="O63" s="961"/>
      <c r="P63" s="961"/>
      <c r="Q63" s="961"/>
      <c r="R63" s="961"/>
      <c r="S63" s="961"/>
      <c r="T63" s="961"/>
      <c r="U63" s="961"/>
      <c r="V63" s="961"/>
      <c r="W63" s="961"/>
      <c r="X63" s="961"/>
      <c r="Y63" s="961"/>
      <c r="Z63" s="961"/>
      <c r="AA63" s="961"/>
      <c r="AB63" s="961"/>
      <c r="AC63" s="961"/>
      <c r="AD63" s="961"/>
      <c r="AE63" s="961"/>
      <c r="AF63" s="961"/>
      <c r="AG63" s="70"/>
      <c r="AH63" s="961"/>
      <c r="AI63" s="961"/>
      <c r="AJ63" s="961"/>
      <c r="AK63" s="961"/>
      <c r="AL63" s="961"/>
      <c r="AM63" s="961"/>
      <c r="AN63" s="961"/>
      <c r="AO63" s="961"/>
      <c r="AP63" s="961"/>
      <c r="AQ63" s="961"/>
      <c r="AR63" s="961"/>
      <c r="AS63" s="961"/>
      <c r="AT63" s="961"/>
      <c r="AU63" s="961"/>
      <c r="AV63" s="961"/>
      <c r="AW63" s="961"/>
      <c r="AX63" s="961"/>
      <c r="AY63" s="961"/>
      <c r="AZ63" s="961"/>
      <c r="BA63" s="961"/>
      <c r="BB63" s="961"/>
      <c r="BC63" s="961"/>
      <c r="BD63" s="961"/>
      <c r="BE63" s="961"/>
      <c r="BF63" s="961"/>
      <c r="BG63" s="961"/>
      <c r="BH63" s="961"/>
      <c r="BI63" s="70"/>
      <c r="BJ63" s="961"/>
      <c r="BK63" s="961"/>
      <c r="BL63" s="961"/>
      <c r="BM63" s="961"/>
      <c r="BN63" s="961"/>
      <c r="BO63" s="961"/>
      <c r="BP63" s="961"/>
      <c r="BQ63" s="961"/>
      <c r="BR63" s="961"/>
      <c r="BS63" s="961"/>
      <c r="BT63" s="961"/>
      <c r="BU63" s="961"/>
      <c r="BV63" s="961"/>
      <c r="BW63" s="961"/>
      <c r="BX63" s="961"/>
      <c r="BY63" s="961"/>
      <c r="BZ63" s="961"/>
      <c r="CA63" s="961"/>
      <c r="CB63" s="70"/>
      <c r="CC63" s="961"/>
      <c r="CD63" s="961"/>
      <c r="CE63" s="961"/>
      <c r="CF63" s="961"/>
      <c r="CG63" s="961"/>
      <c r="CH63" s="961"/>
      <c r="CI63" s="961"/>
      <c r="CJ63" s="961"/>
      <c r="CK63" s="961"/>
      <c r="CL63" s="1"/>
      <c r="CM63" s="72"/>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70"/>
      <c r="ES63" s="70"/>
      <c r="ET63" s="70"/>
      <c r="EU63" s="70"/>
      <c r="EV63" s="70"/>
      <c r="EW63" s="70"/>
      <c r="EX63" s="70"/>
      <c r="EY63" s="70"/>
      <c r="EZ63" s="70"/>
      <c r="FA63" s="70"/>
      <c r="FB63" s="69"/>
      <c r="FC63" s="69"/>
      <c r="FD63" s="69"/>
      <c r="FE63" s="69"/>
      <c r="FF63" s="69"/>
      <c r="FG63" s="69"/>
      <c r="FH63" s="69"/>
      <c r="FI63" s="69"/>
      <c r="FJ63" s="69"/>
      <c r="FK63" s="69"/>
      <c r="FL63" s="69"/>
      <c r="FM63" s="69"/>
      <c r="FN63" s="69"/>
      <c r="FO63" s="69"/>
      <c r="FP63" s="69"/>
      <c r="FQ63" s="69"/>
      <c r="FR63" s="69"/>
      <c r="FS63" s="69"/>
      <c r="FT63" s="69"/>
      <c r="FU63" s="69"/>
      <c r="FV63" s="69"/>
      <c r="FW63" s="69"/>
      <c r="FX63" s="69"/>
      <c r="FY63" s="69"/>
      <c r="FZ63" s="69"/>
      <c r="GA63" s="69"/>
      <c r="GB63" s="69"/>
      <c r="GC63" s="69"/>
      <c r="GD63" s="69"/>
      <c r="GE63" s="69"/>
      <c r="GF63" s="69"/>
      <c r="GG63" s="69"/>
      <c r="GH63" s="69"/>
    </row>
    <row r="64" spans="1:190" s="68" customFormat="1" ht="20.100000000000001" hidden="1" customHeight="1" x14ac:dyDescent="0.2">
      <c r="B64" s="917" t="s">
        <v>456</v>
      </c>
      <c r="C64" s="917"/>
      <c r="D64" s="917"/>
      <c r="E64" s="917"/>
      <c r="F64" s="917"/>
      <c r="G64" s="917"/>
      <c r="H64" s="917"/>
      <c r="I64" s="917"/>
      <c r="J64" s="917"/>
      <c r="K64" s="917"/>
      <c r="L64" s="917"/>
      <c r="M64" s="918"/>
      <c r="N64" s="81"/>
      <c r="O64" s="1016"/>
      <c r="P64" s="1016"/>
      <c r="Q64" s="1016"/>
      <c r="R64" s="1016"/>
      <c r="S64" s="1016"/>
      <c r="T64" s="1016"/>
      <c r="U64" s="1016"/>
      <c r="V64" s="1016"/>
      <c r="W64" s="1016"/>
      <c r="X64" s="923">
        <f>MULHER!U16*MULHER!V33*MULHER!AD11</f>
        <v>6.0472800000000007</v>
      </c>
      <c r="Y64" s="913"/>
      <c r="Z64" s="913"/>
      <c r="AA64" s="913"/>
      <c r="AB64" s="913"/>
      <c r="AC64" s="913"/>
      <c r="AD64" s="913"/>
      <c r="AE64" s="913"/>
      <c r="AF64" s="913"/>
      <c r="AG64" s="70"/>
      <c r="AH64" s="923">
        <f>MULHER!U15*MULHER!V32*MULHER!AD11</f>
        <v>302.36400000000003</v>
      </c>
      <c r="AI64" s="913"/>
      <c r="AJ64" s="913"/>
      <c r="AK64" s="913"/>
      <c r="AL64" s="913"/>
      <c r="AM64" s="913"/>
      <c r="AN64" s="913"/>
      <c r="AO64" s="913"/>
      <c r="AP64" s="913"/>
      <c r="AQ64" s="913"/>
      <c r="AR64" s="913"/>
      <c r="AS64" s="913"/>
      <c r="AT64" s="913"/>
      <c r="AU64" s="913"/>
      <c r="AV64" s="913"/>
      <c r="AW64" s="913"/>
      <c r="AX64" s="913"/>
      <c r="AY64" s="913"/>
      <c r="AZ64" s="913"/>
      <c r="BA64" s="913"/>
      <c r="BB64" s="913"/>
      <c r="BC64" s="913"/>
      <c r="BD64" s="913"/>
      <c r="BE64" s="913"/>
      <c r="BF64" s="913"/>
      <c r="BG64" s="913"/>
      <c r="BH64" s="913"/>
      <c r="BI64" s="79"/>
      <c r="BJ64" s="913"/>
      <c r="BK64" s="913"/>
      <c r="BL64" s="913"/>
      <c r="BM64" s="913"/>
      <c r="BN64" s="913"/>
      <c r="BO64" s="913"/>
      <c r="BP64" s="913"/>
      <c r="BQ64" s="913"/>
      <c r="BR64" s="913"/>
      <c r="BS64" s="913"/>
      <c r="BT64" s="913"/>
      <c r="BU64" s="913"/>
      <c r="BV64" s="913"/>
      <c r="BW64" s="913"/>
      <c r="BX64" s="913"/>
      <c r="BY64" s="913"/>
      <c r="BZ64" s="913"/>
      <c r="CA64" s="914"/>
      <c r="CB64" s="70"/>
      <c r="CC64" s="923"/>
      <c r="CD64" s="913"/>
      <c r="CE64" s="913"/>
      <c r="CF64" s="913"/>
      <c r="CG64" s="913"/>
      <c r="CH64" s="913"/>
      <c r="CI64" s="913"/>
      <c r="CJ64" s="913"/>
      <c r="CK64" s="914"/>
      <c r="CL64" s="1"/>
      <c r="CM64" s="72"/>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70"/>
      <c r="ES64" s="70"/>
      <c r="ET64" s="70"/>
      <c r="EU64" s="70"/>
      <c r="EV64" s="70"/>
      <c r="EW64" s="70"/>
      <c r="EX64" s="70"/>
      <c r="EY64" s="70"/>
      <c r="EZ64" s="70"/>
      <c r="FA64" s="70"/>
      <c r="FB64" s="69"/>
      <c r="FC64" s="69"/>
      <c r="FD64" s="69"/>
      <c r="FE64" s="69"/>
      <c r="FF64" s="69"/>
      <c r="FG64" s="69"/>
      <c r="FH64" s="69"/>
      <c r="FI64" s="69"/>
      <c r="FJ64" s="69"/>
      <c r="FK64" s="69"/>
      <c r="FL64" s="69"/>
      <c r="FM64" s="69"/>
      <c r="FN64" s="69"/>
      <c r="FO64" s="69"/>
      <c r="FP64" s="69"/>
      <c r="FQ64" s="69"/>
      <c r="FR64" s="69"/>
      <c r="FS64" s="69"/>
      <c r="FT64" s="69"/>
      <c r="FU64" s="69"/>
      <c r="FV64" s="69"/>
      <c r="FW64" s="69"/>
      <c r="FX64" s="69"/>
      <c r="FY64" s="69"/>
      <c r="FZ64" s="69"/>
      <c r="GA64" s="69"/>
      <c r="GB64" s="69"/>
      <c r="GC64" s="69"/>
      <c r="GD64" s="69"/>
      <c r="GE64" s="69"/>
      <c r="GF64" s="69"/>
      <c r="GG64" s="69"/>
      <c r="GH64" s="69"/>
    </row>
    <row r="65" spans="1:190" s="68" customFormat="1" ht="20.100000000000001" hidden="1" customHeight="1" x14ac:dyDescent="0.2">
      <c r="B65" s="915" t="s">
        <v>457</v>
      </c>
      <c r="C65" s="915"/>
      <c r="D65" s="915"/>
      <c r="E65" s="915"/>
      <c r="F65" s="915"/>
      <c r="G65" s="915"/>
      <c r="H65" s="915"/>
      <c r="I65" s="915"/>
      <c r="J65" s="915"/>
      <c r="K65" s="915"/>
      <c r="L65" s="915"/>
      <c r="M65" s="916"/>
      <c r="N65" s="81"/>
      <c r="O65" s="963">
        <f>(MULHER!U11*MULHER!AD11*MULHER!V34)</f>
        <v>146.5</v>
      </c>
      <c r="P65" s="924"/>
      <c r="Q65" s="924"/>
      <c r="R65" s="924"/>
      <c r="S65" s="924"/>
      <c r="T65" s="924"/>
      <c r="U65" s="924"/>
      <c r="V65" s="924"/>
      <c r="W65" s="924"/>
      <c r="X65" s="924">
        <f>SUM(MULHER!U12:V14)*MULHER!V35*MULHER!AD11</f>
        <v>26.369999999999997</v>
      </c>
      <c r="Y65" s="924"/>
      <c r="Z65" s="924"/>
      <c r="AA65" s="924"/>
      <c r="AB65" s="924"/>
      <c r="AC65" s="924"/>
      <c r="AD65" s="924"/>
      <c r="AE65" s="924"/>
      <c r="AF65" s="962"/>
      <c r="AG65" s="70"/>
      <c r="AH65" s="963"/>
      <c r="AI65" s="924"/>
      <c r="AJ65" s="924"/>
      <c r="AK65" s="924"/>
      <c r="AL65" s="924"/>
      <c r="AM65" s="924"/>
      <c r="AN65" s="924"/>
      <c r="AO65" s="924"/>
      <c r="AP65" s="924"/>
      <c r="AQ65" s="924"/>
      <c r="AR65" s="924"/>
      <c r="AS65" s="924"/>
      <c r="AT65" s="924"/>
      <c r="AU65" s="924"/>
      <c r="AV65" s="924"/>
      <c r="AW65" s="924"/>
      <c r="AX65" s="924"/>
      <c r="AY65" s="924"/>
      <c r="AZ65" s="924"/>
      <c r="BA65" s="924"/>
      <c r="BB65" s="924"/>
      <c r="BC65" s="924"/>
      <c r="BD65" s="924"/>
      <c r="BE65" s="924"/>
      <c r="BF65" s="924"/>
      <c r="BG65" s="924"/>
      <c r="BH65" s="924"/>
      <c r="BI65" s="79"/>
      <c r="BJ65" s="924"/>
      <c r="BK65" s="924"/>
      <c r="BL65" s="924"/>
      <c r="BM65" s="924"/>
      <c r="BN65" s="924"/>
      <c r="BO65" s="924"/>
      <c r="BP65" s="924"/>
      <c r="BQ65" s="924"/>
      <c r="BR65" s="924"/>
      <c r="BS65" s="924"/>
      <c r="BT65" s="924"/>
      <c r="BU65" s="924"/>
      <c r="BV65" s="924"/>
      <c r="BW65" s="924"/>
      <c r="BX65" s="924"/>
      <c r="BY65" s="924"/>
      <c r="BZ65" s="924"/>
      <c r="CA65" s="962"/>
      <c r="CB65" s="70"/>
      <c r="CC65" s="963"/>
      <c r="CD65" s="924"/>
      <c r="CE65" s="924"/>
      <c r="CF65" s="924"/>
      <c r="CG65" s="924"/>
      <c r="CH65" s="924"/>
      <c r="CI65" s="924"/>
      <c r="CJ65" s="924"/>
      <c r="CK65" s="962"/>
      <c r="CL65" s="1"/>
      <c r="CM65" s="72"/>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70"/>
      <c r="ES65" s="70"/>
      <c r="ET65" s="70"/>
      <c r="EU65" s="70"/>
      <c r="EV65" s="70"/>
      <c r="EW65" s="70"/>
      <c r="EX65" s="70"/>
      <c r="EY65" s="70"/>
      <c r="EZ65" s="70"/>
      <c r="FA65" s="70"/>
      <c r="FB65" s="69"/>
      <c r="FC65" s="69"/>
      <c r="FD65" s="69"/>
      <c r="FE65" s="69"/>
      <c r="FF65" s="69"/>
      <c r="FG65" s="69"/>
      <c r="FH65" s="69"/>
      <c r="FI65" s="69"/>
      <c r="FJ65" s="69"/>
      <c r="FK65" s="69"/>
      <c r="FL65" s="69"/>
      <c r="FM65" s="69"/>
      <c r="FN65" s="69"/>
      <c r="FO65" s="69"/>
      <c r="FP65" s="69"/>
      <c r="FQ65" s="69"/>
      <c r="FR65" s="69"/>
      <c r="FS65" s="69"/>
      <c r="FT65" s="69"/>
      <c r="FU65" s="69"/>
      <c r="FV65" s="69"/>
      <c r="FW65" s="69"/>
      <c r="FX65" s="69"/>
      <c r="FY65" s="69"/>
      <c r="FZ65" s="69"/>
      <c r="GA65" s="69"/>
      <c r="GB65" s="69"/>
      <c r="GC65" s="69"/>
      <c r="GD65" s="69"/>
      <c r="GE65" s="69"/>
      <c r="GF65" s="69"/>
      <c r="GG65" s="69"/>
      <c r="GH65" s="69"/>
    </row>
    <row r="66" spans="1:190" s="95" customFormat="1" ht="20.100000000000001" hidden="1" customHeight="1" x14ac:dyDescent="0.2">
      <c r="B66" s="909" t="s">
        <v>657</v>
      </c>
      <c r="C66" s="909"/>
      <c r="D66" s="909"/>
      <c r="E66" s="909"/>
      <c r="F66" s="909"/>
      <c r="G66" s="909"/>
      <c r="H66" s="909"/>
      <c r="I66" s="909"/>
      <c r="J66" s="909"/>
      <c r="K66" s="909"/>
      <c r="L66" s="909"/>
      <c r="M66" s="910"/>
      <c r="N66" s="97"/>
      <c r="O66" s="911">
        <f>(((CADASTRO!AU23*HIPERTENSO!D16)+(CADASTRO!AU24*HIPERTENSO!G17)+(CADASTRO!AU27*HIPERTENSO!G18)+(CADASTRO!AU28*HIPERTENSO!G19))*MULHER!N11*MULHER!AD11)</f>
        <v>63.356500000000004</v>
      </c>
      <c r="P66" s="912"/>
      <c r="Q66" s="912"/>
      <c r="R66" s="912"/>
      <c r="S66" s="912"/>
      <c r="T66" s="912"/>
      <c r="U66" s="912"/>
      <c r="V66" s="912"/>
      <c r="W66" s="912"/>
      <c r="X66" s="912"/>
      <c r="Y66" s="912"/>
      <c r="Z66" s="912"/>
      <c r="AA66" s="912"/>
      <c r="AB66" s="912"/>
      <c r="AC66" s="912"/>
      <c r="AD66" s="912"/>
      <c r="AE66" s="912"/>
      <c r="AF66" s="1017"/>
      <c r="AG66" s="214"/>
      <c r="AH66" s="911">
        <f>(((CADASTRO!AU18+CADASTRO!AU19)*HIPERTENSO!G14)+((CADASTRO!AU20+CADASTRO!AU21)*HIPERTENSO!G15)+((CADASTRO!AU22+CADASTRO!AU23)*HIPERTENSO!G16)+(CADASTRO!AU24*HIPERTENSO!G17)+(CADASTRO!AU27*HIPERTENSO!G18))*MULHER!N15*MULHER!AD11</f>
        <v>70.713216000000017</v>
      </c>
      <c r="AI66" s="912"/>
      <c r="AJ66" s="912"/>
      <c r="AK66" s="912"/>
      <c r="AL66" s="912"/>
      <c r="AM66" s="912"/>
      <c r="AN66" s="912"/>
      <c r="AO66" s="912"/>
      <c r="AP66" s="912"/>
      <c r="AQ66" s="912"/>
      <c r="AR66" s="912"/>
      <c r="AS66" s="912"/>
      <c r="AT66" s="912"/>
      <c r="AU66" s="912"/>
      <c r="AV66" s="912"/>
      <c r="AW66" s="912"/>
      <c r="AX66" s="912"/>
      <c r="AY66" s="912"/>
      <c r="AZ66" s="912"/>
      <c r="BA66" s="912"/>
      <c r="BB66" s="912"/>
      <c r="BC66" s="912"/>
      <c r="BD66" s="912"/>
      <c r="BE66" s="912"/>
      <c r="BF66" s="912"/>
      <c r="BG66" s="912"/>
      <c r="BH66" s="912"/>
      <c r="BI66" s="215"/>
      <c r="BJ66" s="912"/>
      <c r="BK66" s="912"/>
      <c r="BL66" s="912"/>
      <c r="BM66" s="912"/>
      <c r="BN66" s="912"/>
      <c r="BO66" s="912"/>
      <c r="BP66" s="912"/>
      <c r="BQ66" s="912"/>
      <c r="BR66" s="912"/>
      <c r="BS66" s="912"/>
      <c r="BT66" s="912"/>
      <c r="BU66" s="912"/>
      <c r="BV66" s="912"/>
      <c r="BW66" s="912"/>
      <c r="BX66" s="912"/>
      <c r="BY66" s="912"/>
      <c r="BZ66" s="912"/>
      <c r="CA66" s="1017"/>
      <c r="CB66" s="214"/>
      <c r="CC66" s="911"/>
      <c r="CD66" s="912"/>
      <c r="CE66" s="912"/>
      <c r="CF66" s="912"/>
      <c r="CG66" s="912"/>
      <c r="CH66" s="912"/>
      <c r="CI66" s="912"/>
      <c r="CJ66" s="912"/>
      <c r="CK66" s="1017"/>
      <c r="CL66" s="100"/>
      <c r="CM66" s="216"/>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214"/>
      <c r="ES66" s="214"/>
      <c r="ET66" s="214"/>
      <c r="EU66" s="214"/>
      <c r="EV66" s="214"/>
      <c r="EW66" s="214"/>
      <c r="EX66" s="214"/>
      <c r="EY66" s="214"/>
      <c r="EZ66" s="214"/>
      <c r="FA66" s="214"/>
      <c r="FB66" s="101"/>
      <c r="FC66" s="101"/>
      <c r="FD66" s="101"/>
      <c r="FE66" s="101"/>
      <c r="FF66" s="101"/>
      <c r="FG66" s="101"/>
      <c r="FH66" s="101"/>
      <c r="FI66" s="101"/>
      <c r="FJ66" s="101"/>
      <c r="FK66" s="101"/>
      <c r="FL66" s="101"/>
      <c r="FM66" s="101"/>
      <c r="FN66" s="101"/>
      <c r="FO66" s="101"/>
      <c r="FP66" s="101"/>
      <c r="FQ66" s="101"/>
      <c r="FR66" s="101"/>
      <c r="FS66" s="101"/>
      <c r="FT66" s="101"/>
      <c r="FU66" s="101"/>
      <c r="FV66" s="101"/>
      <c r="FW66" s="101"/>
      <c r="FX66" s="101"/>
      <c r="FY66" s="101"/>
      <c r="FZ66" s="101"/>
      <c r="GA66" s="101"/>
      <c r="GB66" s="101"/>
      <c r="GC66" s="101"/>
      <c r="GD66" s="101"/>
      <c r="GE66" s="101"/>
      <c r="GF66" s="101"/>
      <c r="GG66" s="101"/>
      <c r="GH66" s="101"/>
    </row>
    <row r="67" spans="1:190" s="221" customFormat="1" ht="20.100000000000001" hidden="1" customHeight="1" x14ac:dyDescent="0.25">
      <c r="B67" s="217"/>
      <c r="C67" s="217"/>
      <c r="D67" s="926" t="s">
        <v>658</v>
      </c>
      <c r="E67" s="926"/>
      <c r="F67" s="926"/>
      <c r="G67" s="926"/>
      <c r="H67" s="926"/>
      <c r="I67" s="926"/>
      <c r="J67" s="926"/>
      <c r="K67" s="926"/>
      <c r="L67" s="926"/>
      <c r="M67" s="218"/>
      <c r="N67" s="219"/>
      <c r="O67" s="971">
        <f>(((CADASTRO!AU23*DIABÉTICO!G16)+(CADASTRO!AU24*DIABÉTICO!G17)+(CADASTRO!AU27*DIABÉTICO!G18)+(CADASTRO!AU28*DIABÉTICO!G19))*MULHER!N11*MULHER!AD11)</f>
        <v>20.543000000000003</v>
      </c>
      <c r="P67" s="971"/>
      <c r="Q67" s="971"/>
      <c r="R67" s="971"/>
      <c r="S67" s="971"/>
      <c r="T67" s="971"/>
      <c r="U67" s="971"/>
      <c r="V67" s="971"/>
      <c r="W67" s="971"/>
      <c r="X67" s="219"/>
      <c r="Y67" s="219"/>
      <c r="Z67" s="219"/>
      <c r="AA67" s="219"/>
      <c r="AB67" s="219"/>
      <c r="AC67" s="219"/>
      <c r="AD67" s="219"/>
      <c r="AE67" s="219"/>
      <c r="AF67" s="219"/>
      <c r="AG67" s="219"/>
      <c r="AH67" s="971">
        <f>(((CADASTRO!AU18+CADASTRO!AU19)*DIABÉTICO!G14)+((CADASTRO!AU20+CADASTRO!AU21)*DIABÉTICO!G15)+((CADASTRO!AU22+CADASTRO!AU23)*DIABÉTICO!G16)+(CADASTRO!AU24*DIABÉTICO!G17)+(CADASTRO!AU27*DIABÉTICO!G18))*MULHER!N15*MULHER!AD11</f>
        <v>20.106873</v>
      </c>
      <c r="AI67" s="971"/>
      <c r="AJ67" s="971"/>
      <c r="AK67" s="971"/>
      <c r="AL67" s="971"/>
      <c r="AM67" s="971"/>
      <c r="AN67" s="971"/>
      <c r="AO67" s="971"/>
      <c r="AP67" s="971"/>
      <c r="AQ67" s="219"/>
      <c r="AR67" s="219"/>
      <c r="AS67" s="219"/>
      <c r="AT67" s="219"/>
      <c r="AU67" s="219"/>
      <c r="AV67" s="219"/>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19"/>
      <c r="BU67" s="219"/>
      <c r="BV67" s="219"/>
      <c r="BW67" s="219"/>
      <c r="BX67" s="219"/>
      <c r="BY67" s="219"/>
      <c r="BZ67" s="219"/>
      <c r="CA67" s="219"/>
      <c r="CB67" s="219"/>
      <c r="CC67" s="219"/>
      <c r="CD67" s="219"/>
      <c r="CE67" s="219"/>
      <c r="CF67" s="219"/>
      <c r="CG67" s="219"/>
      <c r="CH67" s="219"/>
      <c r="CI67" s="219"/>
      <c r="CJ67" s="219"/>
      <c r="CK67" s="219"/>
      <c r="CL67" s="219"/>
      <c r="CM67" s="220"/>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c r="DX67" s="89"/>
      <c r="DY67" s="219"/>
      <c r="DZ67" s="219"/>
      <c r="EA67" s="219"/>
    </row>
    <row r="68" spans="1:190" s="68" customFormat="1" ht="20.100000000000001" customHeight="1" x14ac:dyDescent="0.2">
      <c r="B68" s="891" t="s">
        <v>287</v>
      </c>
      <c r="C68" s="891"/>
      <c r="D68" s="891"/>
      <c r="E68" s="891"/>
      <c r="F68" s="891"/>
      <c r="G68" s="891"/>
      <c r="H68" s="891"/>
      <c r="I68" s="891"/>
      <c r="J68" s="891"/>
      <c r="K68" s="891"/>
      <c r="L68" s="891"/>
      <c r="M68" s="891"/>
      <c r="N68" s="81"/>
      <c r="O68" s="892">
        <f>O65-O66-O67</f>
        <v>62.600499999999982</v>
      </c>
      <c r="P68" s="892"/>
      <c r="Q68" s="892"/>
      <c r="R68" s="892"/>
      <c r="S68" s="892"/>
      <c r="T68" s="892"/>
      <c r="U68" s="892"/>
      <c r="V68" s="892"/>
      <c r="W68" s="892"/>
      <c r="X68" s="892">
        <f>SUM(X64:AF66)</f>
        <v>32.417279999999998</v>
      </c>
      <c r="Y68" s="892"/>
      <c r="Z68" s="892"/>
      <c r="AA68" s="892"/>
      <c r="AB68" s="892"/>
      <c r="AC68" s="892"/>
      <c r="AD68" s="892"/>
      <c r="AE68" s="892"/>
      <c r="AF68" s="892"/>
      <c r="AG68" s="70"/>
      <c r="AH68" s="892">
        <f>AH64-AH66-AH67</f>
        <v>211.54391100000001</v>
      </c>
      <c r="AI68" s="892"/>
      <c r="AJ68" s="892"/>
      <c r="AK68" s="892"/>
      <c r="AL68" s="892"/>
      <c r="AM68" s="892"/>
      <c r="AN68" s="892"/>
      <c r="AO68" s="892"/>
      <c r="AP68" s="892"/>
      <c r="AQ68" s="892">
        <f>SUM(AQ64:AY66)</f>
        <v>0</v>
      </c>
      <c r="AR68" s="892"/>
      <c r="AS68" s="892"/>
      <c r="AT68" s="892"/>
      <c r="AU68" s="892"/>
      <c r="AV68" s="892"/>
      <c r="AW68" s="892"/>
      <c r="AX68" s="892"/>
      <c r="AY68" s="892"/>
      <c r="AZ68" s="892">
        <f>SUM(AZ64:BH66)</f>
        <v>0</v>
      </c>
      <c r="BA68" s="892"/>
      <c r="BB68" s="892"/>
      <c r="BC68" s="892"/>
      <c r="BD68" s="892"/>
      <c r="BE68" s="892"/>
      <c r="BF68" s="892"/>
      <c r="BG68" s="892"/>
      <c r="BH68" s="892"/>
      <c r="BI68" s="70"/>
      <c r="BJ68" s="892">
        <f>SUM(BJ64:BR66)</f>
        <v>0</v>
      </c>
      <c r="BK68" s="892"/>
      <c r="BL68" s="892"/>
      <c r="BM68" s="892"/>
      <c r="BN68" s="892"/>
      <c r="BO68" s="892"/>
      <c r="BP68" s="892"/>
      <c r="BQ68" s="892"/>
      <c r="BR68" s="892"/>
      <c r="BS68" s="892">
        <f>SUM(BS64:CA66)</f>
        <v>0</v>
      </c>
      <c r="BT68" s="892"/>
      <c r="BU68" s="892"/>
      <c r="BV68" s="892"/>
      <c r="BW68" s="892"/>
      <c r="BX68" s="892"/>
      <c r="BY68" s="892"/>
      <c r="BZ68" s="892"/>
      <c r="CA68" s="892"/>
      <c r="CB68" s="70"/>
      <c r="CC68" s="892">
        <f>SUM(CC64:CK66)</f>
        <v>0</v>
      </c>
      <c r="CD68" s="892"/>
      <c r="CE68" s="892"/>
      <c r="CF68" s="892"/>
      <c r="CG68" s="892"/>
      <c r="CH68" s="892"/>
      <c r="CI68" s="892"/>
      <c r="CJ68" s="892"/>
      <c r="CK68" s="892"/>
      <c r="CL68" s="1"/>
      <c r="CM68" s="72"/>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70"/>
      <c r="ES68" s="70"/>
      <c r="ET68" s="70"/>
      <c r="EU68" s="70"/>
      <c r="EV68" s="70"/>
      <c r="EW68" s="70"/>
      <c r="EX68" s="70"/>
      <c r="EY68" s="70"/>
      <c r="EZ68" s="70"/>
      <c r="FA68" s="70"/>
      <c r="FB68" s="69"/>
      <c r="FC68" s="69"/>
      <c r="FD68" s="69"/>
      <c r="FE68" s="69"/>
      <c r="FF68" s="69"/>
      <c r="FG68" s="69"/>
      <c r="FH68" s="69"/>
      <c r="FI68" s="69"/>
      <c r="FJ68" s="69"/>
      <c r="FK68" s="69"/>
      <c r="FL68" s="69"/>
      <c r="FM68" s="69"/>
      <c r="FN68" s="69"/>
      <c r="FO68" s="69"/>
      <c r="FP68" s="69"/>
      <c r="FQ68" s="69"/>
      <c r="FR68" s="69"/>
      <c r="FS68" s="69"/>
      <c r="FT68" s="69"/>
      <c r="FU68" s="69"/>
      <c r="FV68" s="69"/>
      <c r="FW68" s="69"/>
      <c r="FX68" s="69"/>
      <c r="FY68" s="69"/>
      <c r="FZ68" s="69"/>
      <c r="GA68" s="69"/>
      <c r="GB68" s="69"/>
      <c r="GC68" s="69"/>
      <c r="GD68" s="69"/>
      <c r="GE68" s="69"/>
      <c r="GF68" s="69"/>
      <c r="GG68" s="69"/>
      <c r="GH68" s="69"/>
    </row>
    <row r="69" spans="1:190" s="68" customFormat="1" ht="7.5" customHeight="1" x14ac:dyDescent="0.2">
      <c r="B69" s="81"/>
      <c r="C69" s="81"/>
      <c r="D69" s="81"/>
      <c r="E69" s="81"/>
      <c r="F69" s="81"/>
      <c r="G69" s="81"/>
      <c r="H69" s="81"/>
      <c r="I69" s="81"/>
      <c r="J69" s="81"/>
      <c r="K69" s="81"/>
      <c r="L69" s="81"/>
      <c r="M69" s="81"/>
      <c r="N69" s="81"/>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1"/>
      <c r="CM69" s="72"/>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70"/>
      <c r="ES69" s="70"/>
      <c r="ET69" s="70"/>
      <c r="EU69" s="70"/>
      <c r="EV69" s="70"/>
      <c r="EW69" s="70"/>
      <c r="EX69" s="70"/>
      <c r="EY69" s="70"/>
      <c r="EZ69" s="70"/>
      <c r="FA69" s="70"/>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69"/>
      <c r="GC69" s="69"/>
      <c r="GD69" s="69"/>
      <c r="GE69" s="69"/>
      <c r="GF69" s="69"/>
      <c r="GG69" s="69"/>
      <c r="GH69" s="69"/>
    </row>
    <row r="70" spans="1:190" s="68" customFormat="1" ht="20.100000000000001" hidden="1" customHeight="1" x14ac:dyDescent="0.2">
      <c r="A70" s="350"/>
      <c r="B70" s="997" t="s">
        <v>458</v>
      </c>
      <c r="C70" s="997"/>
      <c r="D70" s="997"/>
      <c r="E70" s="997"/>
      <c r="F70" s="997"/>
      <c r="G70" s="997"/>
      <c r="H70" s="997"/>
      <c r="I70" s="997"/>
      <c r="J70" s="997"/>
      <c r="K70" s="997"/>
      <c r="L70" s="997"/>
      <c r="M70" s="997"/>
      <c r="N70" s="78"/>
      <c r="O70" s="961"/>
      <c r="P70" s="961"/>
      <c r="Q70" s="961"/>
      <c r="R70" s="961"/>
      <c r="S70" s="961"/>
      <c r="T70" s="961"/>
      <c r="U70" s="961"/>
      <c r="V70" s="961"/>
      <c r="W70" s="961"/>
      <c r="X70" s="961"/>
      <c r="Y70" s="961"/>
      <c r="Z70" s="961"/>
      <c r="AA70" s="961"/>
      <c r="AB70" s="961"/>
      <c r="AC70" s="961"/>
      <c r="AD70" s="961"/>
      <c r="AE70" s="961"/>
      <c r="AF70" s="961"/>
      <c r="AG70" s="70"/>
      <c r="AH70" s="961"/>
      <c r="AI70" s="961"/>
      <c r="AJ70" s="961"/>
      <c r="AK70" s="961"/>
      <c r="AL70" s="961"/>
      <c r="AM70" s="961"/>
      <c r="AN70" s="961"/>
      <c r="AO70" s="961"/>
      <c r="AP70" s="961"/>
      <c r="AQ70" s="961"/>
      <c r="AR70" s="961"/>
      <c r="AS70" s="961"/>
      <c r="AT70" s="961"/>
      <c r="AU70" s="961"/>
      <c r="AV70" s="961"/>
      <c r="AW70" s="961"/>
      <c r="AX70" s="961"/>
      <c r="AY70" s="961"/>
      <c r="AZ70" s="961"/>
      <c r="BA70" s="961"/>
      <c r="BB70" s="961"/>
      <c r="BC70" s="961"/>
      <c r="BD70" s="961"/>
      <c r="BE70" s="961"/>
      <c r="BF70" s="961"/>
      <c r="BG70" s="961"/>
      <c r="BH70" s="961"/>
      <c r="BI70" s="70"/>
      <c r="BJ70" s="961"/>
      <c r="BK70" s="961"/>
      <c r="BL70" s="961"/>
      <c r="BM70" s="961"/>
      <c r="BN70" s="961"/>
      <c r="BO70" s="961"/>
      <c r="BP70" s="961"/>
      <c r="BQ70" s="961"/>
      <c r="BR70" s="961"/>
      <c r="BS70" s="961"/>
      <c r="BT70" s="961"/>
      <c r="BU70" s="961"/>
      <c r="BV70" s="961"/>
      <c r="BW70" s="961"/>
      <c r="BX70" s="961"/>
      <c r="BY70" s="961"/>
      <c r="BZ70" s="961"/>
      <c r="CA70" s="961"/>
      <c r="CB70" s="70"/>
      <c r="CC70" s="961"/>
      <c r="CD70" s="961"/>
      <c r="CE70" s="961"/>
      <c r="CF70" s="961"/>
      <c r="CG70" s="961"/>
      <c r="CH70" s="961"/>
      <c r="CI70" s="961"/>
      <c r="CJ70" s="961"/>
      <c r="CK70" s="961"/>
      <c r="CL70" s="1"/>
      <c r="CM70" s="72"/>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70"/>
      <c r="ES70" s="70"/>
      <c r="ET70" s="70"/>
      <c r="EU70" s="70"/>
      <c r="EV70" s="70"/>
      <c r="EW70" s="70"/>
      <c r="EX70" s="70"/>
      <c r="EY70" s="70"/>
      <c r="EZ70" s="70"/>
      <c r="FA70" s="70"/>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69"/>
      <c r="GB70" s="69"/>
      <c r="GC70" s="69"/>
      <c r="GD70" s="69"/>
      <c r="GE70" s="69"/>
      <c r="GF70" s="69"/>
      <c r="GG70" s="69"/>
      <c r="GH70" s="69"/>
    </row>
    <row r="71" spans="1:190" s="68" customFormat="1" ht="20.100000000000001" hidden="1" customHeight="1" x14ac:dyDescent="0.2">
      <c r="A71" s="350"/>
      <c r="B71" s="915" t="s">
        <v>843</v>
      </c>
      <c r="C71" s="915"/>
      <c r="D71" s="915"/>
      <c r="E71" s="915"/>
      <c r="F71" s="915"/>
      <c r="G71" s="915"/>
      <c r="H71" s="915"/>
      <c r="I71" s="915"/>
      <c r="J71" s="915"/>
      <c r="K71" s="915"/>
      <c r="L71" s="915"/>
      <c r="M71" s="916"/>
      <c r="N71" s="81"/>
      <c r="O71" s="963">
        <f>' POP. ALVO'!U111*'S. MENTAL'!E11</f>
        <v>84</v>
      </c>
      <c r="P71" s="924"/>
      <c r="Q71" s="924"/>
      <c r="R71" s="924"/>
      <c r="S71" s="924"/>
      <c r="T71" s="924"/>
      <c r="U71" s="924"/>
      <c r="V71" s="924"/>
      <c r="W71" s="924"/>
      <c r="X71" s="924">
        <f>' POP. ALVO'!U111*'S. MENTAL'!F11</f>
        <v>252</v>
      </c>
      <c r="Y71" s="924"/>
      <c r="Z71" s="924"/>
      <c r="AA71" s="924"/>
      <c r="AB71" s="924"/>
      <c r="AC71" s="924"/>
      <c r="AD71" s="924"/>
      <c r="AE71" s="924"/>
      <c r="AF71" s="962"/>
      <c r="AG71" s="70"/>
      <c r="AH71" s="963">
        <f>' POP. ALVO'!U111*'S. MENTAL'!G11</f>
        <v>84</v>
      </c>
      <c r="AI71" s="924"/>
      <c r="AJ71" s="924"/>
      <c r="AK71" s="924"/>
      <c r="AL71" s="924"/>
      <c r="AM71" s="924"/>
      <c r="AN71" s="924"/>
      <c r="AO71" s="924"/>
      <c r="AP71" s="924"/>
      <c r="AQ71" s="924">
        <f>' POP. ALVO'!U111*'S. MENTAL'!H11</f>
        <v>84</v>
      </c>
      <c r="AR71" s="924"/>
      <c r="AS71" s="924"/>
      <c r="AT71" s="924"/>
      <c r="AU71" s="924"/>
      <c r="AV71" s="924"/>
      <c r="AW71" s="924"/>
      <c r="AX71" s="924"/>
      <c r="AY71" s="924"/>
      <c r="AZ71" s="924"/>
      <c r="BA71" s="924"/>
      <c r="BB71" s="924"/>
      <c r="BC71" s="924"/>
      <c r="BD71" s="924"/>
      <c r="BE71" s="924"/>
      <c r="BF71" s="924"/>
      <c r="BG71" s="924"/>
      <c r="BH71" s="924"/>
      <c r="BI71" s="79"/>
      <c r="BJ71" s="924">
        <f>' POP. ALVO'!U111*'S. MENTAL'!J11</f>
        <v>1008</v>
      </c>
      <c r="BK71" s="924"/>
      <c r="BL71" s="924"/>
      <c r="BM71" s="924"/>
      <c r="BN71" s="924"/>
      <c r="BO71" s="924"/>
      <c r="BP71" s="924"/>
      <c r="BQ71" s="924"/>
      <c r="BR71" s="924"/>
      <c r="BS71" s="924">
        <f>' POP. ALVO'!U111*'S. MENTAL'!I11</f>
        <v>336</v>
      </c>
      <c r="BT71" s="924"/>
      <c r="BU71" s="924"/>
      <c r="BV71" s="924"/>
      <c r="BW71" s="924"/>
      <c r="BX71" s="924"/>
      <c r="BY71" s="924"/>
      <c r="BZ71" s="924"/>
      <c r="CA71" s="962"/>
      <c r="CB71" s="70"/>
      <c r="CC71" s="963"/>
      <c r="CD71" s="924"/>
      <c r="CE71" s="924"/>
      <c r="CF71" s="924"/>
      <c r="CG71" s="924"/>
      <c r="CH71" s="924"/>
      <c r="CI71" s="924"/>
      <c r="CJ71" s="924"/>
      <c r="CK71" s="962"/>
      <c r="CL71" s="1"/>
      <c r="CM71" s="72"/>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70"/>
      <c r="ES71" s="70"/>
      <c r="ET71" s="70"/>
      <c r="EU71" s="70"/>
      <c r="EV71" s="70"/>
      <c r="EW71" s="70"/>
      <c r="EX71" s="70"/>
      <c r="EY71" s="70"/>
      <c r="EZ71" s="70"/>
      <c r="FA71" s="70"/>
      <c r="FB71" s="69"/>
      <c r="FC71" s="69"/>
      <c r="FD71" s="69"/>
      <c r="FE71" s="69"/>
      <c r="FF71" s="69"/>
      <c r="FG71" s="69"/>
      <c r="FH71" s="69"/>
      <c r="FI71" s="69"/>
      <c r="FJ71" s="69"/>
      <c r="FK71" s="69"/>
      <c r="FL71" s="69"/>
      <c r="FM71" s="69"/>
      <c r="FN71" s="69"/>
      <c r="FO71" s="69"/>
      <c r="FP71" s="69"/>
      <c r="FQ71" s="69"/>
      <c r="FR71" s="69"/>
      <c r="FS71" s="69"/>
      <c r="FT71" s="69"/>
      <c r="FU71" s="69"/>
      <c r="FV71" s="69"/>
      <c r="FW71" s="69"/>
      <c r="FX71" s="69"/>
      <c r="FY71" s="69"/>
      <c r="FZ71" s="69"/>
      <c r="GA71" s="69"/>
      <c r="GB71" s="69"/>
      <c r="GC71" s="69"/>
      <c r="GD71" s="69"/>
      <c r="GE71" s="69"/>
      <c r="GF71" s="69"/>
      <c r="GG71" s="69"/>
      <c r="GH71" s="69"/>
    </row>
    <row r="72" spans="1:190" s="68" customFormat="1" ht="20.100000000000001" hidden="1" customHeight="1" x14ac:dyDescent="0.2">
      <c r="A72" s="350"/>
      <c r="B72" s="915" t="s">
        <v>844</v>
      </c>
      <c r="C72" s="915"/>
      <c r="D72" s="915"/>
      <c r="E72" s="915"/>
      <c r="F72" s="915"/>
      <c r="G72" s="915"/>
      <c r="H72" s="915"/>
      <c r="I72" s="915"/>
      <c r="J72" s="915"/>
      <c r="K72" s="915"/>
      <c r="L72" s="915"/>
      <c r="M72" s="916"/>
      <c r="N72" s="81"/>
      <c r="O72" s="963">
        <f>' POP. ALVO'!U112*'S. MENTAL'!E12</f>
        <v>48</v>
      </c>
      <c r="P72" s="924"/>
      <c r="Q72" s="924"/>
      <c r="R72" s="924"/>
      <c r="S72" s="924"/>
      <c r="T72" s="924"/>
      <c r="U72" s="924"/>
      <c r="V72" s="924"/>
      <c r="W72" s="924"/>
      <c r="X72" s="924">
        <f>' POP. ALVO'!U112*'S. MENTAL'!F12</f>
        <v>144</v>
      </c>
      <c r="Y72" s="924"/>
      <c r="Z72" s="924"/>
      <c r="AA72" s="924"/>
      <c r="AB72" s="924"/>
      <c r="AC72" s="924"/>
      <c r="AD72" s="924"/>
      <c r="AE72" s="924"/>
      <c r="AF72" s="962"/>
      <c r="AG72" s="70"/>
      <c r="AH72" s="963">
        <f>' POP. ALVO'!U112*'S. MENTAL'!G12</f>
        <v>48</v>
      </c>
      <c r="AI72" s="924"/>
      <c r="AJ72" s="924"/>
      <c r="AK72" s="924"/>
      <c r="AL72" s="924"/>
      <c r="AM72" s="924"/>
      <c r="AN72" s="924"/>
      <c r="AO72" s="924"/>
      <c r="AP72" s="924"/>
      <c r="AQ72" s="924">
        <f>' POP. ALVO'!U112*'S. MENTAL'!H12</f>
        <v>48</v>
      </c>
      <c r="AR72" s="924"/>
      <c r="AS72" s="924"/>
      <c r="AT72" s="924"/>
      <c r="AU72" s="924"/>
      <c r="AV72" s="924"/>
      <c r="AW72" s="924"/>
      <c r="AX72" s="924"/>
      <c r="AY72" s="924"/>
      <c r="AZ72" s="924"/>
      <c r="BA72" s="924"/>
      <c r="BB72" s="924"/>
      <c r="BC72" s="924"/>
      <c r="BD72" s="924"/>
      <c r="BE72" s="924"/>
      <c r="BF72" s="924"/>
      <c r="BG72" s="924"/>
      <c r="BH72" s="924"/>
      <c r="BI72" s="79"/>
      <c r="BJ72" s="924">
        <f>' POP. ALVO'!U112*'S. MENTAL'!J12</f>
        <v>576</v>
      </c>
      <c r="BK72" s="924"/>
      <c r="BL72" s="924"/>
      <c r="BM72" s="924"/>
      <c r="BN72" s="924"/>
      <c r="BO72" s="924"/>
      <c r="BP72" s="924"/>
      <c r="BQ72" s="924"/>
      <c r="BR72" s="924"/>
      <c r="BS72" s="924">
        <f>' POP. ALVO'!U112*'S. MENTAL'!I12</f>
        <v>192</v>
      </c>
      <c r="BT72" s="924"/>
      <c r="BU72" s="924"/>
      <c r="BV72" s="924"/>
      <c r="BW72" s="924"/>
      <c r="BX72" s="924"/>
      <c r="BY72" s="924"/>
      <c r="BZ72" s="924"/>
      <c r="CA72" s="962"/>
      <c r="CB72" s="70"/>
      <c r="CC72" s="963"/>
      <c r="CD72" s="924"/>
      <c r="CE72" s="924"/>
      <c r="CF72" s="924"/>
      <c r="CG72" s="924"/>
      <c r="CH72" s="924"/>
      <c r="CI72" s="924"/>
      <c r="CJ72" s="924"/>
      <c r="CK72" s="962"/>
      <c r="CL72" s="1"/>
      <c r="CM72" s="72"/>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70"/>
      <c r="ES72" s="70"/>
      <c r="ET72" s="70"/>
      <c r="EU72" s="70"/>
      <c r="EV72" s="70"/>
      <c r="EW72" s="70"/>
      <c r="EX72" s="70"/>
      <c r="EY72" s="70"/>
      <c r="EZ72" s="70"/>
      <c r="FA72" s="70"/>
      <c r="FB72" s="69"/>
      <c r="FC72" s="69"/>
      <c r="FD72" s="69"/>
      <c r="FE72" s="69"/>
      <c r="FF72" s="69"/>
      <c r="FG72" s="69"/>
      <c r="FH72" s="69"/>
      <c r="FI72" s="69"/>
      <c r="FJ72" s="69"/>
      <c r="FK72" s="69"/>
      <c r="FL72" s="69"/>
      <c r="FM72" s="69"/>
      <c r="FN72" s="69"/>
      <c r="FO72" s="69"/>
      <c r="FP72" s="69"/>
      <c r="FQ72" s="69"/>
      <c r="FR72" s="69"/>
      <c r="FS72" s="69"/>
      <c r="FT72" s="69"/>
      <c r="FU72" s="69"/>
      <c r="FV72" s="69"/>
      <c r="FW72" s="69"/>
      <c r="FX72" s="69"/>
      <c r="FY72" s="69"/>
      <c r="FZ72" s="69"/>
      <c r="GA72" s="69"/>
      <c r="GB72" s="69"/>
      <c r="GC72" s="69"/>
      <c r="GD72" s="69"/>
      <c r="GE72" s="69"/>
      <c r="GF72" s="69"/>
      <c r="GG72" s="69"/>
      <c r="GH72" s="69"/>
    </row>
    <row r="73" spans="1:190" s="68" customFormat="1" ht="20.100000000000001" hidden="1" customHeight="1" x14ac:dyDescent="0.2">
      <c r="A73" s="350"/>
      <c r="B73" s="915" t="s">
        <v>845</v>
      </c>
      <c r="C73" s="915"/>
      <c r="D73" s="915"/>
      <c r="E73" s="915"/>
      <c r="F73" s="915"/>
      <c r="G73" s="915"/>
      <c r="H73" s="915"/>
      <c r="I73" s="915"/>
      <c r="J73" s="915"/>
      <c r="K73" s="915"/>
      <c r="L73" s="915"/>
      <c r="M73" s="916"/>
      <c r="N73" s="81"/>
      <c r="O73" s="963">
        <f>' POP. ALVO'!U113*'S. MENTAL'!E13</f>
        <v>10</v>
      </c>
      <c r="P73" s="924"/>
      <c r="Q73" s="924"/>
      <c r="R73" s="924"/>
      <c r="S73" s="924"/>
      <c r="T73" s="924"/>
      <c r="U73" s="924"/>
      <c r="V73" s="924"/>
      <c r="W73" s="924"/>
      <c r="X73" s="963">
        <f>IF(EQUIPE!E56="SIM",' POP. ALVO'!U113*'S. MENTAL'!F13,IF(EQUIPE!E56="NÃO",' POP. ALVO'!U113*'S. MENTAL'!F12,0))</f>
        <v>10</v>
      </c>
      <c r="Y73" s="924"/>
      <c r="Z73" s="924"/>
      <c r="AA73" s="924"/>
      <c r="AB73" s="924"/>
      <c r="AC73" s="924"/>
      <c r="AD73" s="924"/>
      <c r="AE73" s="924"/>
      <c r="AF73" s="924"/>
      <c r="AG73" s="70"/>
      <c r="AH73" s="963">
        <f>' POP. ALVO'!U113*'S. MENTAL'!G13</f>
        <v>10</v>
      </c>
      <c r="AI73" s="924"/>
      <c r="AJ73" s="924"/>
      <c r="AK73" s="924"/>
      <c r="AL73" s="924"/>
      <c r="AM73" s="924"/>
      <c r="AN73" s="924"/>
      <c r="AO73" s="924"/>
      <c r="AP73" s="924"/>
      <c r="AQ73" s="924">
        <f>' POP. ALVO'!U113*'S. MENTAL'!H13</f>
        <v>10</v>
      </c>
      <c r="AR73" s="924"/>
      <c r="AS73" s="924"/>
      <c r="AT73" s="924"/>
      <c r="AU73" s="924"/>
      <c r="AV73" s="924"/>
      <c r="AW73" s="924"/>
      <c r="AX73" s="924"/>
      <c r="AY73" s="924"/>
      <c r="AZ73" s="920"/>
      <c r="BA73" s="920"/>
      <c r="BB73" s="920"/>
      <c r="BC73" s="920"/>
      <c r="BD73" s="920"/>
      <c r="BE73" s="920"/>
      <c r="BF73" s="920"/>
      <c r="BG73" s="920"/>
      <c r="BH73" s="920"/>
      <c r="BI73" s="79"/>
      <c r="BJ73" s="924">
        <f>' POP. ALVO'!U113*'S. MENTAL'!J13</f>
        <v>120</v>
      </c>
      <c r="BK73" s="924"/>
      <c r="BL73" s="924"/>
      <c r="BM73" s="924"/>
      <c r="BN73" s="924"/>
      <c r="BO73" s="924"/>
      <c r="BP73" s="924"/>
      <c r="BQ73" s="924"/>
      <c r="BR73" s="924"/>
      <c r="BS73" s="924">
        <f>' POP. ALVO'!U113*'S. MENTAL'!I13</f>
        <v>40</v>
      </c>
      <c r="BT73" s="924"/>
      <c r="BU73" s="924"/>
      <c r="BV73" s="924"/>
      <c r="BW73" s="924"/>
      <c r="BX73" s="924"/>
      <c r="BY73" s="924"/>
      <c r="BZ73" s="924"/>
      <c r="CA73" s="962"/>
      <c r="CB73" s="70"/>
      <c r="CC73" s="919"/>
      <c r="CD73" s="920"/>
      <c r="CE73" s="920"/>
      <c r="CF73" s="920"/>
      <c r="CG73" s="920"/>
      <c r="CH73" s="920"/>
      <c r="CI73" s="920"/>
      <c r="CJ73" s="920"/>
      <c r="CK73" s="925"/>
      <c r="CL73" s="1"/>
      <c r="CM73" s="72"/>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70"/>
      <c r="ES73" s="70"/>
      <c r="ET73" s="70"/>
      <c r="EU73" s="70"/>
      <c r="EV73" s="70"/>
      <c r="EW73" s="70"/>
      <c r="EX73" s="70"/>
      <c r="EY73" s="70"/>
      <c r="EZ73" s="70"/>
      <c r="FA73" s="70"/>
      <c r="FB73" s="69"/>
      <c r="FC73" s="69"/>
      <c r="FD73" s="69"/>
      <c r="FE73" s="69"/>
      <c r="FF73" s="69"/>
      <c r="FG73" s="69"/>
      <c r="FH73" s="69"/>
      <c r="FI73" s="69"/>
      <c r="FJ73" s="69"/>
      <c r="FK73" s="69"/>
      <c r="FL73" s="69"/>
      <c r="FM73" s="69"/>
      <c r="FN73" s="69"/>
      <c r="FO73" s="69"/>
      <c r="FP73" s="69"/>
      <c r="FQ73" s="69"/>
      <c r="FR73" s="69"/>
      <c r="FS73" s="69"/>
      <c r="FT73" s="69"/>
      <c r="FU73" s="69"/>
      <c r="FV73" s="69"/>
      <c r="FW73" s="69"/>
      <c r="FX73" s="69"/>
      <c r="FY73" s="69"/>
      <c r="FZ73" s="69"/>
      <c r="GA73" s="69"/>
      <c r="GB73" s="69"/>
      <c r="GC73" s="69"/>
      <c r="GD73" s="69"/>
      <c r="GE73" s="69"/>
      <c r="GF73" s="69"/>
      <c r="GG73" s="69"/>
      <c r="GH73" s="69"/>
    </row>
    <row r="74" spans="1:190" s="68" customFormat="1" ht="20.100000000000001" hidden="1" customHeight="1" x14ac:dyDescent="0.2">
      <c r="A74" s="350"/>
      <c r="B74" s="915" t="s">
        <v>860</v>
      </c>
      <c r="C74" s="915"/>
      <c r="D74" s="915"/>
      <c r="E74" s="915"/>
      <c r="F74" s="915"/>
      <c r="G74" s="915"/>
      <c r="H74" s="915"/>
      <c r="I74" s="915"/>
      <c r="J74" s="915"/>
      <c r="K74" s="915"/>
      <c r="L74" s="915"/>
      <c r="M74" s="916"/>
      <c r="N74" s="81"/>
      <c r="O74" s="963">
        <f>' POP. ALVO'!U114*'S. MENTAL'!E14</f>
        <v>2</v>
      </c>
      <c r="P74" s="924"/>
      <c r="Q74" s="924"/>
      <c r="R74" s="924"/>
      <c r="S74" s="924"/>
      <c r="T74" s="924"/>
      <c r="U74" s="924"/>
      <c r="V74" s="924"/>
      <c r="W74" s="924"/>
      <c r="X74" s="963">
        <f>' POP. ALVO'!U114*'S. MENTAL'!F14</f>
        <v>2</v>
      </c>
      <c r="Y74" s="924"/>
      <c r="Z74" s="924"/>
      <c r="AA74" s="924"/>
      <c r="AB74" s="924"/>
      <c r="AC74" s="924"/>
      <c r="AD74" s="924"/>
      <c r="AE74" s="924"/>
      <c r="AF74" s="924"/>
      <c r="AG74" s="70"/>
      <c r="AH74" s="963">
        <f>' POP. ALVO'!U114*'S. MENTAL'!G14</f>
        <v>2</v>
      </c>
      <c r="AI74" s="924"/>
      <c r="AJ74" s="924"/>
      <c r="AK74" s="924"/>
      <c r="AL74" s="924"/>
      <c r="AM74" s="924"/>
      <c r="AN74" s="924"/>
      <c r="AO74" s="924"/>
      <c r="AP74" s="924"/>
      <c r="AQ74" s="924">
        <f>' POP. ALVO'!U114*'S. MENTAL'!H14</f>
        <v>2</v>
      </c>
      <c r="AR74" s="924"/>
      <c r="AS74" s="924"/>
      <c r="AT74" s="924"/>
      <c r="AU74" s="924"/>
      <c r="AV74" s="924"/>
      <c r="AW74" s="924"/>
      <c r="AX74" s="924"/>
      <c r="AY74" s="924"/>
      <c r="AZ74" s="920"/>
      <c r="BA74" s="920"/>
      <c r="BB74" s="920"/>
      <c r="BC74" s="920"/>
      <c r="BD74" s="920"/>
      <c r="BE74" s="920"/>
      <c r="BF74" s="920"/>
      <c r="BG74" s="920"/>
      <c r="BH74" s="920"/>
      <c r="BI74" s="79"/>
      <c r="BJ74" s="924">
        <f>' POP. ALVO'!U114*'S. MENTAL'!J14</f>
        <v>24</v>
      </c>
      <c r="BK74" s="924"/>
      <c r="BL74" s="924"/>
      <c r="BM74" s="924"/>
      <c r="BN74" s="924"/>
      <c r="BO74" s="924"/>
      <c r="BP74" s="924"/>
      <c r="BQ74" s="924"/>
      <c r="BR74" s="924"/>
      <c r="BS74" s="924">
        <f>' POP. ALVO'!U114*'S. MENTAL'!I14</f>
        <v>8</v>
      </c>
      <c r="BT74" s="924"/>
      <c r="BU74" s="924"/>
      <c r="BV74" s="924"/>
      <c r="BW74" s="924"/>
      <c r="BX74" s="924"/>
      <c r="BY74" s="924"/>
      <c r="BZ74" s="924"/>
      <c r="CA74" s="962"/>
      <c r="CB74" s="70"/>
      <c r="CC74" s="919"/>
      <c r="CD74" s="920"/>
      <c r="CE74" s="920"/>
      <c r="CF74" s="920"/>
      <c r="CG74" s="920"/>
      <c r="CH74" s="920"/>
      <c r="CI74" s="920"/>
      <c r="CJ74" s="920"/>
      <c r="CK74" s="925"/>
      <c r="CL74" s="1"/>
      <c r="CM74" s="72"/>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70"/>
      <c r="ES74" s="70"/>
      <c r="ET74" s="70"/>
      <c r="EU74" s="70"/>
      <c r="EV74" s="70"/>
      <c r="EW74" s="70"/>
      <c r="EX74" s="70"/>
      <c r="EY74" s="70"/>
      <c r="EZ74" s="70"/>
      <c r="FA74" s="70"/>
      <c r="FB74" s="69"/>
      <c r="FC74" s="69"/>
      <c r="FD74" s="69"/>
      <c r="FE74" s="69"/>
      <c r="FF74" s="69"/>
      <c r="FG74" s="69"/>
      <c r="FH74" s="69"/>
      <c r="FI74" s="69"/>
      <c r="FJ74" s="69"/>
      <c r="FK74" s="69"/>
      <c r="FL74" s="69"/>
      <c r="FM74" s="69"/>
      <c r="FN74" s="69"/>
      <c r="FO74" s="69"/>
      <c r="FP74" s="69"/>
      <c r="FQ74" s="69"/>
      <c r="FR74" s="69"/>
      <c r="FS74" s="69"/>
      <c r="FT74" s="69"/>
      <c r="FU74" s="69"/>
      <c r="FV74" s="69"/>
      <c r="FW74" s="69"/>
      <c r="FX74" s="69"/>
      <c r="FY74" s="69"/>
      <c r="FZ74" s="69"/>
      <c r="GA74" s="69"/>
      <c r="GB74" s="69"/>
      <c r="GC74" s="69"/>
      <c r="GD74" s="69"/>
      <c r="GE74" s="69"/>
      <c r="GF74" s="69"/>
      <c r="GG74" s="69"/>
      <c r="GH74" s="69"/>
    </row>
    <row r="75" spans="1:190" s="68" customFormat="1" ht="20.100000000000001" hidden="1" customHeight="1" x14ac:dyDescent="0.2">
      <c r="A75" s="350"/>
      <c r="B75" s="915" t="s">
        <v>846</v>
      </c>
      <c r="C75" s="915"/>
      <c r="D75" s="915"/>
      <c r="E75" s="915"/>
      <c r="F75" s="915"/>
      <c r="G75" s="915"/>
      <c r="H75" s="915"/>
      <c r="I75" s="915"/>
      <c r="J75" s="915"/>
      <c r="K75" s="915"/>
      <c r="L75" s="915"/>
      <c r="M75" s="916"/>
      <c r="N75" s="81"/>
      <c r="O75" s="963">
        <f>SUM(O71:W74)</f>
        <v>144</v>
      </c>
      <c r="P75" s="924"/>
      <c r="Q75" s="924"/>
      <c r="R75" s="924"/>
      <c r="S75" s="924"/>
      <c r="T75" s="924"/>
      <c r="U75" s="924"/>
      <c r="V75" s="924"/>
      <c r="W75" s="924"/>
      <c r="X75" s="963">
        <f>SUM(X71:AF74)</f>
        <v>408</v>
      </c>
      <c r="Y75" s="924"/>
      <c r="Z75" s="924"/>
      <c r="AA75" s="924"/>
      <c r="AB75" s="924"/>
      <c r="AC75" s="924"/>
      <c r="AD75" s="924"/>
      <c r="AE75" s="924"/>
      <c r="AF75" s="924"/>
      <c r="AG75" s="70"/>
      <c r="AH75" s="919">
        <f>SUM(AH71:AP74)</f>
        <v>144</v>
      </c>
      <c r="AI75" s="920"/>
      <c r="AJ75" s="920"/>
      <c r="AK75" s="920"/>
      <c r="AL75" s="920"/>
      <c r="AM75" s="920"/>
      <c r="AN75" s="920"/>
      <c r="AO75" s="920"/>
      <c r="AP75" s="920"/>
      <c r="AQ75" s="919">
        <f>SUM(AQ71:AY74)</f>
        <v>144</v>
      </c>
      <c r="AR75" s="920"/>
      <c r="AS75" s="920"/>
      <c r="AT75" s="920"/>
      <c r="AU75" s="920"/>
      <c r="AV75" s="920"/>
      <c r="AW75" s="920"/>
      <c r="AX75" s="920"/>
      <c r="AY75" s="920"/>
      <c r="AZ75" s="920"/>
      <c r="BA75" s="920"/>
      <c r="BB75" s="920"/>
      <c r="BC75" s="920"/>
      <c r="BD75" s="920"/>
      <c r="BE75" s="920"/>
      <c r="BF75" s="920"/>
      <c r="BG75" s="920"/>
      <c r="BH75" s="920"/>
      <c r="BI75" s="79"/>
      <c r="BJ75" s="919">
        <f>SUM(BJ71:BR74)</f>
        <v>1728</v>
      </c>
      <c r="BK75" s="920"/>
      <c r="BL75" s="920"/>
      <c r="BM75" s="920"/>
      <c r="BN75" s="920"/>
      <c r="BO75" s="920"/>
      <c r="BP75" s="920"/>
      <c r="BQ75" s="920"/>
      <c r="BR75" s="920"/>
      <c r="BS75" s="919">
        <f>SUM(BS71:CA74)</f>
        <v>576</v>
      </c>
      <c r="BT75" s="920"/>
      <c r="BU75" s="920"/>
      <c r="BV75" s="920"/>
      <c r="BW75" s="920"/>
      <c r="BX75" s="920"/>
      <c r="BY75" s="920"/>
      <c r="BZ75" s="920"/>
      <c r="CA75" s="920"/>
      <c r="CB75" s="70"/>
      <c r="CC75" s="919"/>
      <c r="CD75" s="920"/>
      <c r="CE75" s="920"/>
      <c r="CF75" s="920"/>
      <c r="CG75" s="920"/>
      <c r="CH75" s="920"/>
      <c r="CI75" s="920"/>
      <c r="CJ75" s="920"/>
      <c r="CK75" s="925"/>
      <c r="CL75" s="1"/>
      <c r="CM75" s="72"/>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70"/>
      <c r="ES75" s="70"/>
      <c r="ET75" s="70"/>
      <c r="EU75" s="70"/>
      <c r="EV75" s="70"/>
      <c r="EW75" s="70"/>
      <c r="EX75" s="70"/>
      <c r="EY75" s="70"/>
      <c r="EZ75" s="70"/>
      <c r="FA75" s="70"/>
      <c r="FB75" s="69"/>
      <c r="FC75" s="69"/>
      <c r="FD75" s="69"/>
      <c r="FE75" s="69"/>
      <c r="FF75" s="69"/>
      <c r="FG75" s="69"/>
      <c r="FH75" s="69"/>
      <c r="FI75" s="69"/>
      <c r="FJ75" s="69"/>
      <c r="FK75" s="69"/>
      <c r="FL75" s="69"/>
      <c r="FM75" s="69"/>
      <c r="FN75" s="69"/>
      <c r="FO75" s="69"/>
      <c r="FP75" s="69"/>
      <c r="FQ75" s="69"/>
      <c r="FR75" s="69"/>
      <c r="FS75" s="69"/>
      <c r="FT75" s="69"/>
      <c r="FU75" s="69"/>
      <c r="FV75" s="69"/>
      <c r="FW75" s="69"/>
      <c r="FX75" s="69"/>
      <c r="FY75" s="69"/>
      <c r="FZ75" s="69"/>
      <c r="GA75" s="69"/>
      <c r="GB75" s="69"/>
      <c r="GC75" s="69"/>
      <c r="GD75" s="69"/>
      <c r="GE75" s="69"/>
      <c r="GF75" s="69"/>
      <c r="GG75" s="69"/>
      <c r="GH75" s="69"/>
    </row>
    <row r="76" spans="1:190" s="95" customFormat="1" ht="20.100000000000001" hidden="1" customHeight="1" x14ac:dyDescent="0.2">
      <c r="A76" s="350"/>
      <c r="B76" s="909" t="s">
        <v>861</v>
      </c>
      <c r="C76" s="909"/>
      <c r="D76" s="909"/>
      <c r="E76" s="909"/>
      <c r="F76" s="909"/>
      <c r="G76" s="909"/>
      <c r="H76" s="909"/>
      <c r="I76" s="909"/>
      <c r="J76" s="909"/>
      <c r="K76" s="909"/>
      <c r="L76" s="909"/>
      <c r="M76" s="910"/>
      <c r="N76" s="97"/>
      <c r="O76" s="911">
        <f>O75*' POP. ALVO'!$X$113</f>
        <v>43.199999999999996</v>
      </c>
      <c r="P76" s="912"/>
      <c r="Q76" s="912"/>
      <c r="R76" s="912"/>
      <c r="S76" s="912"/>
      <c r="T76" s="912"/>
      <c r="U76" s="912"/>
      <c r="V76" s="912"/>
      <c r="W76" s="912"/>
      <c r="X76" s="911">
        <f>X75*' POP. ALVO'!$X$113</f>
        <v>122.39999999999999</v>
      </c>
      <c r="Y76" s="912"/>
      <c r="Z76" s="912"/>
      <c r="AA76" s="912"/>
      <c r="AB76" s="912"/>
      <c r="AC76" s="912"/>
      <c r="AD76" s="912"/>
      <c r="AE76" s="912"/>
      <c r="AF76" s="912"/>
      <c r="AG76" s="214"/>
      <c r="AH76" s="911">
        <f>AH75*' POP. ALVO'!$X$113</f>
        <v>43.199999999999996</v>
      </c>
      <c r="AI76" s="912"/>
      <c r="AJ76" s="912"/>
      <c r="AK76" s="912"/>
      <c r="AL76" s="912"/>
      <c r="AM76" s="912"/>
      <c r="AN76" s="912"/>
      <c r="AO76" s="912"/>
      <c r="AP76" s="912"/>
      <c r="AQ76" s="911">
        <f>AQ75*' POP. ALVO'!$X$113</f>
        <v>43.199999999999996</v>
      </c>
      <c r="AR76" s="912"/>
      <c r="AS76" s="912"/>
      <c r="AT76" s="912"/>
      <c r="AU76" s="912"/>
      <c r="AV76" s="912"/>
      <c r="AW76" s="912"/>
      <c r="AX76" s="912"/>
      <c r="AY76" s="912"/>
      <c r="AZ76" s="912"/>
      <c r="BA76" s="912"/>
      <c r="BB76" s="912"/>
      <c r="BC76" s="912"/>
      <c r="BD76" s="912"/>
      <c r="BE76" s="912"/>
      <c r="BF76" s="912"/>
      <c r="BG76" s="912"/>
      <c r="BH76" s="912"/>
      <c r="BI76" s="215"/>
      <c r="BJ76" s="911">
        <f>BJ75*' POP. ALVO'!$X$113</f>
        <v>518.4</v>
      </c>
      <c r="BK76" s="912"/>
      <c r="BL76" s="912"/>
      <c r="BM76" s="912"/>
      <c r="BN76" s="912"/>
      <c r="BO76" s="912"/>
      <c r="BP76" s="912"/>
      <c r="BQ76" s="912"/>
      <c r="BR76" s="912"/>
      <c r="BS76" s="911">
        <f>BS75*' POP. ALVO'!$X$113</f>
        <v>172.79999999999998</v>
      </c>
      <c r="BT76" s="912"/>
      <c r="BU76" s="912"/>
      <c r="BV76" s="912"/>
      <c r="BW76" s="912"/>
      <c r="BX76" s="912"/>
      <c r="BY76" s="912"/>
      <c r="BZ76" s="912"/>
      <c r="CA76" s="912"/>
      <c r="CB76" s="214"/>
      <c r="CC76" s="911"/>
      <c r="CD76" s="912"/>
      <c r="CE76" s="912"/>
      <c r="CF76" s="912"/>
      <c r="CG76" s="912"/>
      <c r="CH76" s="912"/>
      <c r="CI76" s="912"/>
      <c r="CJ76" s="912"/>
      <c r="CK76" s="1017"/>
      <c r="CL76" s="100"/>
      <c r="CM76" s="216"/>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214"/>
      <c r="ES76" s="214"/>
      <c r="ET76" s="214"/>
      <c r="EU76" s="214"/>
      <c r="EV76" s="214"/>
      <c r="EW76" s="214"/>
      <c r="EX76" s="214"/>
      <c r="EY76" s="214"/>
      <c r="EZ76" s="214"/>
      <c r="FA76" s="214"/>
      <c r="FB76" s="101"/>
      <c r="FC76" s="101"/>
      <c r="FD76" s="101"/>
      <c r="FE76" s="101"/>
      <c r="FF76" s="101"/>
      <c r="FG76" s="101"/>
      <c r="FH76" s="101"/>
      <c r="FI76" s="101"/>
      <c r="FJ76" s="101"/>
      <c r="FK76" s="101"/>
      <c r="FL76" s="101"/>
      <c r="FM76" s="101"/>
      <c r="FN76" s="101"/>
      <c r="FO76" s="101"/>
      <c r="FP76" s="101"/>
      <c r="FQ76" s="101"/>
      <c r="FR76" s="101"/>
      <c r="FS76" s="101"/>
      <c r="FT76" s="101"/>
      <c r="FU76" s="101"/>
      <c r="FV76" s="101"/>
      <c r="FW76" s="101"/>
      <c r="FX76" s="101"/>
      <c r="FY76" s="101"/>
      <c r="FZ76" s="101"/>
      <c r="GA76" s="101"/>
      <c r="GB76" s="101"/>
      <c r="GC76" s="101"/>
      <c r="GD76" s="101"/>
      <c r="GE76" s="101"/>
      <c r="GF76" s="101"/>
      <c r="GG76" s="101"/>
      <c r="GH76" s="101"/>
    </row>
    <row r="77" spans="1:190" ht="20.100000000000001" hidden="1" customHeight="1" x14ac:dyDescent="0.25">
      <c r="B77" s="83"/>
      <c r="C77" s="83"/>
      <c r="D77" s="83"/>
      <c r="E77" s="83"/>
      <c r="F77" s="83"/>
      <c r="G77" s="83"/>
      <c r="H77" s="83"/>
      <c r="I77" s="83"/>
      <c r="J77" s="83"/>
      <c r="K77" s="83"/>
      <c r="L77" s="83"/>
      <c r="M77" s="84"/>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6"/>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68"/>
      <c r="DY77" s="85"/>
      <c r="DZ77" s="85"/>
      <c r="EA77" s="85"/>
    </row>
    <row r="78" spans="1:190" s="68" customFormat="1" ht="20.100000000000001" customHeight="1" x14ac:dyDescent="0.2">
      <c r="B78" s="891" t="s">
        <v>397</v>
      </c>
      <c r="C78" s="891"/>
      <c r="D78" s="891"/>
      <c r="E78" s="891"/>
      <c r="F78" s="891"/>
      <c r="G78" s="891"/>
      <c r="H78" s="891"/>
      <c r="I78" s="891"/>
      <c r="J78" s="891"/>
      <c r="K78" s="891"/>
      <c r="L78" s="891"/>
      <c r="M78" s="891"/>
      <c r="N78" s="81"/>
      <c r="O78" s="892">
        <f>IF(EQUIPE!E55="SIM",O75-O76,IF(EQUIPE!E55="NÃO",SUM(O71:W74),0))</f>
        <v>144</v>
      </c>
      <c r="P78" s="892"/>
      <c r="Q78" s="892"/>
      <c r="R78" s="892"/>
      <c r="S78" s="892"/>
      <c r="T78" s="892"/>
      <c r="U78" s="892"/>
      <c r="V78" s="892"/>
      <c r="W78" s="892"/>
      <c r="X78" s="892">
        <f>IF(EQUIPE!E55="SIM",X75-X76,IF(EQUIPE!E55="NÃO",SUM(X71:AF74),0))</f>
        <v>408</v>
      </c>
      <c r="Y78" s="892"/>
      <c r="Z78" s="892"/>
      <c r="AA78" s="892"/>
      <c r="AB78" s="892"/>
      <c r="AC78" s="892"/>
      <c r="AD78" s="892"/>
      <c r="AE78" s="892"/>
      <c r="AF78" s="892"/>
      <c r="AG78" s="70"/>
      <c r="AH78" s="892">
        <f>IF(EQUIPE!E55="SIM",AH75-AH76,IF(EQUIPE!E55="NÃO",SUM(AH71:AP74),0))</f>
        <v>144</v>
      </c>
      <c r="AI78" s="892"/>
      <c r="AJ78" s="892"/>
      <c r="AK78" s="892"/>
      <c r="AL78" s="892"/>
      <c r="AM78" s="892"/>
      <c r="AN78" s="892"/>
      <c r="AO78" s="892"/>
      <c r="AP78" s="892"/>
      <c r="AQ78" s="892">
        <f>IF(EQUIPE!E55="SIM",AQ75-AQ76,IF(EQUIPE!E55="NÃO",SUM(AQ71:AY74),0))</f>
        <v>144</v>
      </c>
      <c r="AR78" s="892"/>
      <c r="AS78" s="892"/>
      <c r="AT78" s="892"/>
      <c r="AU78" s="892"/>
      <c r="AV78" s="892"/>
      <c r="AW78" s="892"/>
      <c r="AX78" s="892"/>
      <c r="AY78" s="892"/>
      <c r="AZ78" s="892"/>
      <c r="BA78" s="892"/>
      <c r="BB78" s="892"/>
      <c r="BC78" s="892"/>
      <c r="BD78" s="892"/>
      <c r="BE78" s="892"/>
      <c r="BF78" s="892"/>
      <c r="BG78" s="892"/>
      <c r="BH78" s="892"/>
      <c r="BI78" s="70"/>
      <c r="BJ78" s="892">
        <f>IF(EQUIPE!E55="SIM",BJ75-BJ76,IF(EQUIPE!E55="NÃO",SUM(BJ71:BR74),0))</f>
        <v>1728</v>
      </c>
      <c r="BK78" s="892"/>
      <c r="BL78" s="892"/>
      <c r="BM78" s="892"/>
      <c r="BN78" s="892"/>
      <c r="BO78" s="892"/>
      <c r="BP78" s="892"/>
      <c r="BQ78" s="892"/>
      <c r="BR78" s="892"/>
      <c r="BS78" s="892">
        <f>IF(EQUIPE!E55="SIM",BS75-BS76,IF(EQUIPE!E55="NÃO",SUM(BS71:CA74),0))</f>
        <v>576</v>
      </c>
      <c r="BT78" s="892"/>
      <c r="BU78" s="892"/>
      <c r="BV78" s="892"/>
      <c r="BW78" s="892"/>
      <c r="BX78" s="892"/>
      <c r="BY78" s="892"/>
      <c r="BZ78" s="892"/>
      <c r="CA78" s="892"/>
      <c r="CB78" s="70"/>
      <c r="CC78" s="892"/>
      <c r="CD78" s="892"/>
      <c r="CE78" s="892"/>
      <c r="CF78" s="892"/>
      <c r="CG78" s="892"/>
      <c r="CH78" s="892"/>
      <c r="CI78" s="892"/>
      <c r="CJ78" s="892"/>
      <c r="CK78" s="892"/>
      <c r="CL78" s="1"/>
      <c r="CM78" s="72"/>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70"/>
      <c r="ES78" s="70"/>
      <c r="ET78" s="70"/>
      <c r="EU78" s="70"/>
      <c r="EV78" s="70"/>
      <c r="EW78" s="70"/>
      <c r="EX78" s="70"/>
      <c r="EY78" s="70"/>
      <c r="EZ78" s="70"/>
      <c r="FA78" s="70"/>
      <c r="FB78" s="69"/>
      <c r="FC78" s="69"/>
      <c r="FD78" s="69"/>
      <c r="FE78" s="69"/>
      <c r="FF78" s="69"/>
      <c r="FG78" s="69"/>
      <c r="FH78" s="69"/>
      <c r="FI78" s="69"/>
      <c r="FJ78" s="69"/>
      <c r="FK78" s="69"/>
      <c r="FL78" s="69"/>
      <c r="FM78" s="69"/>
      <c r="FN78" s="69"/>
      <c r="FO78" s="69"/>
      <c r="FP78" s="69"/>
      <c r="FQ78" s="69"/>
      <c r="FR78" s="69"/>
      <c r="FS78" s="69"/>
      <c r="FT78" s="69"/>
      <c r="FU78" s="69"/>
      <c r="FV78" s="69"/>
      <c r="FW78" s="69"/>
      <c r="FX78" s="69"/>
      <c r="FY78" s="69"/>
      <c r="FZ78" s="69"/>
      <c r="GA78" s="69"/>
      <c r="GB78" s="69"/>
      <c r="GC78" s="69"/>
      <c r="GD78" s="69"/>
      <c r="GE78" s="69"/>
      <c r="GF78" s="69"/>
      <c r="GG78" s="69"/>
      <c r="GH78" s="69"/>
    </row>
    <row r="79" spans="1:190" s="68" customFormat="1" ht="7.5" customHeight="1" x14ac:dyDescent="0.2">
      <c r="B79" s="81"/>
      <c r="C79" s="81"/>
      <c r="D79" s="81"/>
      <c r="E79" s="81"/>
      <c r="F79" s="81"/>
      <c r="G79" s="81"/>
      <c r="H79" s="81"/>
      <c r="I79" s="81"/>
      <c r="J79" s="81"/>
      <c r="K79" s="81"/>
      <c r="L79" s="81"/>
      <c r="M79" s="81"/>
      <c r="N79" s="81"/>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1"/>
      <c r="CM79" s="72"/>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70"/>
      <c r="ES79" s="70"/>
      <c r="ET79" s="70"/>
      <c r="EU79" s="70"/>
      <c r="EV79" s="70"/>
      <c r="EW79" s="70"/>
      <c r="EX79" s="70"/>
      <c r="EY79" s="70"/>
      <c r="EZ79" s="70"/>
      <c r="FA79" s="70"/>
      <c r="FB79" s="69"/>
      <c r="FC79" s="69"/>
      <c r="FD79" s="69"/>
      <c r="FE79" s="69"/>
      <c r="FF79" s="69"/>
      <c r="FG79" s="69"/>
      <c r="FH79" s="69"/>
      <c r="FI79" s="69"/>
      <c r="FJ79" s="69"/>
      <c r="FK79" s="69"/>
      <c r="FL79" s="69"/>
      <c r="FM79" s="69"/>
      <c r="FN79" s="69"/>
      <c r="FO79" s="69"/>
      <c r="FP79" s="69"/>
      <c r="FQ79" s="69"/>
      <c r="FR79" s="69"/>
      <c r="FS79" s="69"/>
      <c r="FT79" s="69"/>
      <c r="FU79" s="69"/>
      <c r="FV79" s="69"/>
      <c r="FW79" s="69"/>
      <c r="FX79" s="69"/>
      <c r="FY79" s="69"/>
      <c r="FZ79" s="69"/>
      <c r="GA79" s="69"/>
      <c r="GB79" s="69"/>
      <c r="GC79" s="69"/>
      <c r="GD79" s="69"/>
      <c r="GE79" s="69"/>
      <c r="GF79" s="69"/>
      <c r="GG79" s="69"/>
      <c r="GH79" s="69"/>
    </row>
    <row r="80" spans="1:190" s="68" customFormat="1" ht="20.100000000000001" customHeight="1" x14ac:dyDescent="0.2">
      <c r="B80" s="997" t="s">
        <v>465</v>
      </c>
      <c r="C80" s="997"/>
      <c r="D80" s="997"/>
      <c r="E80" s="997"/>
      <c r="F80" s="997"/>
      <c r="G80" s="997"/>
      <c r="H80" s="997"/>
      <c r="I80" s="997"/>
      <c r="J80" s="997"/>
      <c r="K80" s="997"/>
      <c r="L80" s="997"/>
      <c r="M80" s="997"/>
      <c r="N80" s="78"/>
      <c r="O80" s="961"/>
      <c r="P80" s="961"/>
      <c r="Q80" s="961"/>
      <c r="R80" s="961"/>
      <c r="S80" s="961"/>
      <c r="T80" s="961"/>
      <c r="U80" s="961"/>
      <c r="V80" s="961"/>
      <c r="W80" s="961"/>
      <c r="X80" s="961"/>
      <c r="Y80" s="961"/>
      <c r="Z80" s="961"/>
      <c r="AA80" s="961"/>
      <c r="AB80" s="961"/>
      <c r="AC80" s="961"/>
      <c r="AD80" s="961"/>
      <c r="AE80" s="961"/>
      <c r="AF80" s="961"/>
      <c r="AG80" s="70"/>
      <c r="AH80" s="961"/>
      <c r="AI80" s="961"/>
      <c r="AJ80" s="961"/>
      <c r="AK80" s="961"/>
      <c r="AL80" s="961"/>
      <c r="AM80" s="961"/>
      <c r="AN80" s="961"/>
      <c r="AO80" s="961"/>
      <c r="AP80" s="961"/>
      <c r="AQ80" s="961"/>
      <c r="AR80" s="961"/>
      <c r="AS80" s="961"/>
      <c r="AT80" s="961"/>
      <c r="AU80" s="961"/>
      <c r="AV80" s="961"/>
      <c r="AW80" s="961"/>
      <c r="AX80" s="961"/>
      <c r="AY80" s="961"/>
      <c r="AZ80" s="961"/>
      <c r="BA80" s="961"/>
      <c r="BB80" s="961"/>
      <c r="BC80" s="961"/>
      <c r="BD80" s="961"/>
      <c r="BE80" s="961"/>
      <c r="BF80" s="961"/>
      <c r="BG80" s="961"/>
      <c r="BH80" s="961"/>
      <c r="BI80" s="70"/>
      <c r="BJ80" s="961"/>
      <c r="BK80" s="961"/>
      <c r="BL80" s="961"/>
      <c r="BM80" s="961"/>
      <c r="BN80" s="961"/>
      <c r="BO80" s="961"/>
      <c r="BP80" s="961"/>
      <c r="BQ80" s="961"/>
      <c r="BR80" s="961"/>
      <c r="BS80" s="961"/>
      <c r="BT80" s="961"/>
      <c r="BU80" s="961"/>
      <c r="BV80" s="961"/>
      <c r="BW80" s="961"/>
      <c r="BX80" s="961"/>
      <c r="BY80" s="961"/>
      <c r="BZ80" s="961"/>
      <c r="CA80" s="961"/>
      <c r="CB80" s="70"/>
      <c r="CC80" s="961"/>
      <c r="CD80" s="961"/>
      <c r="CE80" s="961"/>
      <c r="CF80" s="961"/>
      <c r="CG80" s="961"/>
      <c r="CH80" s="961"/>
      <c r="CI80" s="961"/>
      <c r="CJ80" s="961"/>
      <c r="CK80" s="961"/>
      <c r="CL80" s="1"/>
      <c r="CM80" s="72"/>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70"/>
      <c r="ES80" s="70"/>
      <c r="ET80" s="70"/>
      <c r="EU80" s="70"/>
      <c r="EV80" s="70"/>
      <c r="EW80" s="70"/>
      <c r="EX80" s="70"/>
      <c r="EY80" s="70"/>
      <c r="EZ80" s="70"/>
      <c r="FA80" s="70"/>
      <c r="FB80" s="69"/>
      <c r="FC80" s="69"/>
      <c r="FD80" s="69"/>
      <c r="FE80" s="69"/>
      <c r="FF80" s="69"/>
      <c r="FG80" s="69"/>
      <c r="FH80" s="69"/>
      <c r="FI80" s="69"/>
      <c r="FJ80" s="69"/>
      <c r="FK80" s="69"/>
      <c r="FL80" s="69"/>
      <c r="FM80" s="69"/>
      <c r="FN80" s="69"/>
      <c r="FO80" s="69"/>
      <c r="FP80" s="69"/>
      <c r="FQ80" s="69"/>
      <c r="FR80" s="69"/>
      <c r="FS80" s="69"/>
      <c r="FT80" s="69"/>
      <c r="FU80" s="69"/>
      <c r="FV80" s="69"/>
      <c r="FW80" s="69"/>
      <c r="FX80" s="69"/>
      <c r="FY80" s="69"/>
      <c r="FZ80" s="69"/>
      <c r="GA80" s="69"/>
      <c r="GB80" s="69"/>
      <c r="GC80" s="69"/>
      <c r="GD80" s="69"/>
      <c r="GE80" s="69"/>
      <c r="GF80" s="69"/>
      <c r="GG80" s="69"/>
      <c r="GH80" s="69"/>
    </row>
    <row r="81" spans="2:191" s="68" customFormat="1" ht="30" customHeight="1" x14ac:dyDescent="0.2">
      <c r="B81" s="679" t="s">
        <v>417</v>
      </c>
      <c r="C81" s="680"/>
      <c r="D81" s="680"/>
      <c r="E81" s="680"/>
      <c r="F81" s="680"/>
      <c r="G81" s="680"/>
      <c r="H81" s="680"/>
      <c r="I81" s="680"/>
      <c r="J81" s="680"/>
      <c r="K81" s="680"/>
      <c r="L81" s="680"/>
      <c r="M81" s="681"/>
      <c r="N81" s="81"/>
      <c r="O81" s="923"/>
      <c r="P81" s="913"/>
      <c r="Q81" s="913"/>
      <c r="R81" s="913"/>
      <c r="S81" s="913"/>
      <c r="T81" s="913"/>
      <c r="U81" s="913"/>
      <c r="V81" s="913"/>
      <c r="W81" s="913"/>
      <c r="X81" s="923"/>
      <c r="Y81" s="913"/>
      <c r="Z81" s="913"/>
      <c r="AA81" s="913"/>
      <c r="AB81" s="913"/>
      <c r="AC81" s="913"/>
      <c r="AD81" s="913"/>
      <c r="AE81" s="913"/>
      <c r="AF81" s="913"/>
      <c r="AG81" s="70"/>
      <c r="AH81" s="923"/>
      <c r="AI81" s="913"/>
      <c r="AJ81" s="913"/>
      <c r="AK81" s="913"/>
      <c r="AL81" s="913"/>
      <c r="AM81" s="913"/>
      <c r="AN81" s="913"/>
      <c r="AO81" s="913"/>
      <c r="AP81" s="913"/>
      <c r="AQ81" s="913"/>
      <c r="AR81" s="913"/>
      <c r="AS81" s="913"/>
      <c r="AT81" s="913"/>
      <c r="AU81" s="913"/>
      <c r="AV81" s="913"/>
      <c r="AW81" s="913"/>
      <c r="AX81" s="913"/>
      <c r="AY81" s="913"/>
      <c r="AZ81" s="913"/>
      <c r="BA81" s="913"/>
      <c r="BB81" s="913"/>
      <c r="BC81" s="913"/>
      <c r="BD81" s="913"/>
      <c r="BE81" s="913"/>
      <c r="BF81" s="913"/>
      <c r="BG81" s="913"/>
      <c r="BH81" s="913"/>
      <c r="BI81" s="79"/>
      <c r="BJ81" s="913"/>
      <c r="BK81" s="913"/>
      <c r="BL81" s="913"/>
      <c r="BM81" s="913"/>
      <c r="BN81" s="913"/>
      <c r="BO81" s="913"/>
      <c r="BP81" s="913"/>
      <c r="BQ81" s="913"/>
      <c r="BR81" s="913"/>
      <c r="BS81" s="913">
        <f>PREVENÇÃO!W55*PREVENÇÃO!F65/TUTORIAL!V143</f>
        <v>0</v>
      </c>
      <c r="BT81" s="913"/>
      <c r="BU81" s="913"/>
      <c r="BV81" s="913"/>
      <c r="BW81" s="913"/>
      <c r="BX81" s="913"/>
      <c r="BY81" s="913"/>
      <c r="BZ81" s="913"/>
      <c r="CA81" s="914"/>
      <c r="CB81" s="70"/>
      <c r="CC81" s="923"/>
      <c r="CD81" s="913"/>
      <c r="CE81" s="913"/>
      <c r="CF81" s="913"/>
      <c r="CG81" s="913"/>
      <c r="CH81" s="913"/>
      <c r="CI81" s="913"/>
      <c r="CJ81" s="913"/>
      <c r="CK81" s="914"/>
      <c r="CL81" s="1"/>
      <c r="CM81" s="72"/>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70"/>
      <c r="ES81" s="70"/>
      <c r="ET81" s="70"/>
      <c r="EU81" s="70"/>
      <c r="EV81" s="70"/>
      <c r="EW81" s="70"/>
      <c r="EX81" s="70"/>
      <c r="EY81" s="70"/>
      <c r="EZ81" s="70"/>
      <c r="FA81" s="70"/>
      <c r="FB81" s="69"/>
      <c r="FC81" s="69"/>
      <c r="FD81" s="69"/>
      <c r="FE81" s="69"/>
      <c r="FF81" s="69"/>
      <c r="FG81" s="69"/>
      <c r="FH81" s="69"/>
      <c r="FI81" s="69"/>
      <c r="FJ81" s="69"/>
      <c r="FK81" s="69"/>
      <c r="FL81" s="69"/>
      <c r="FM81" s="69"/>
      <c r="FN81" s="69"/>
      <c r="FO81" s="69"/>
      <c r="FP81" s="69"/>
      <c r="FQ81" s="69"/>
      <c r="FR81" s="69"/>
      <c r="FS81" s="69"/>
      <c r="FT81" s="69"/>
      <c r="FU81" s="69"/>
      <c r="FV81" s="69"/>
      <c r="FW81" s="69"/>
      <c r="FX81" s="69"/>
      <c r="FY81" s="69"/>
      <c r="FZ81" s="69"/>
      <c r="GA81" s="69"/>
      <c r="GB81" s="69"/>
      <c r="GC81" s="69"/>
      <c r="GD81" s="69"/>
      <c r="GE81" s="69"/>
      <c r="GF81" s="69"/>
      <c r="GG81" s="69"/>
      <c r="GH81" s="69"/>
    </row>
    <row r="82" spans="2:191" s="68" customFormat="1" ht="30" customHeight="1" x14ac:dyDescent="0.2">
      <c r="B82" s="679" t="s">
        <v>418</v>
      </c>
      <c r="C82" s="680"/>
      <c r="D82" s="680"/>
      <c r="E82" s="680"/>
      <c r="F82" s="680"/>
      <c r="G82" s="680"/>
      <c r="H82" s="680"/>
      <c r="I82" s="680"/>
      <c r="J82" s="680"/>
      <c r="K82" s="680"/>
      <c r="L82" s="680"/>
      <c r="M82" s="681"/>
      <c r="N82" s="81"/>
      <c r="O82" s="923"/>
      <c r="P82" s="913"/>
      <c r="Q82" s="913"/>
      <c r="R82" s="913"/>
      <c r="S82" s="913"/>
      <c r="T82" s="913"/>
      <c r="U82" s="913"/>
      <c r="V82" s="913"/>
      <c r="W82" s="913"/>
      <c r="X82" s="923"/>
      <c r="Y82" s="913"/>
      <c r="Z82" s="913"/>
      <c r="AA82" s="913"/>
      <c r="AB82" s="913"/>
      <c r="AC82" s="913"/>
      <c r="AD82" s="913"/>
      <c r="AE82" s="913"/>
      <c r="AF82" s="913"/>
      <c r="AG82" s="70"/>
      <c r="AH82" s="923"/>
      <c r="AI82" s="913"/>
      <c r="AJ82" s="913"/>
      <c r="AK82" s="913"/>
      <c r="AL82" s="913"/>
      <c r="AM82" s="913"/>
      <c r="AN82" s="913"/>
      <c r="AO82" s="913"/>
      <c r="AP82" s="913"/>
      <c r="AQ82" s="913"/>
      <c r="AR82" s="913"/>
      <c r="AS82" s="913"/>
      <c r="AT82" s="913"/>
      <c r="AU82" s="913"/>
      <c r="AV82" s="913"/>
      <c r="AW82" s="913"/>
      <c r="AX82" s="913"/>
      <c r="AY82" s="913"/>
      <c r="AZ82" s="913"/>
      <c r="BA82" s="913"/>
      <c r="BB82" s="913"/>
      <c r="BC82" s="913"/>
      <c r="BD82" s="913"/>
      <c r="BE82" s="913"/>
      <c r="BF82" s="913"/>
      <c r="BG82" s="913"/>
      <c r="BH82" s="913"/>
      <c r="BI82" s="79"/>
      <c r="BJ82" s="913"/>
      <c r="BK82" s="913"/>
      <c r="BL82" s="913"/>
      <c r="BM82" s="913"/>
      <c r="BN82" s="913"/>
      <c r="BO82" s="913"/>
      <c r="BP82" s="913"/>
      <c r="BQ82" s="913"/>
      <c r="BR82" s="913"/>
      <c r="BS82" s="913">
        <f>PREVENÇÃO!W56*PREVENÇÃO!F66/TUTORIAL!V143</f>
        <v>0</v>
      </c>
      <c r="BT82" s="913"/>
      <c r="BU82" s="913"/>
      <c r="BV82" s="913"/>
      <c r="BW82" s="913"/>
      <c r="BX82" s="913"/>
      <c r="BY82" s="913"/>
      <c r="BZ82" s="913"/>
      <c r="CA82" s="914"/>
      <c r="CB82" s="70"/>
      <c r="CC82" s="923"/>
      <c r="CD82" s="913"/>
      <c r="CE82" s="913"/>
      <c r="CF82" s="913"/>
      <c r="CG82" s="913"/>
      <c r="CH82" s="913"/>
      <c r="CI82" s="913"/>
      <c r="CJ82" s="913"/>
      <c r="CK82" s="914"/>
      <c r="CL82" s="1"/>
      <c r="CM82" s="72"/>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70"/>
      <c r="ES82" s="70"/>
      <c r="ET82" s="70"/>
      <c r="EU82" s="70"/>
      <c r="EV82" s="70"/>
      <c r="EW82" s="70"/>
      <c r="EX82" s="70"/>
      <c r="EY82" s="70"/>
      <c r="EZ82" s="70"/>
      <c r="FA82" s="70"/>
      <c r="FB82" s="69"/>
      <c r="FC82" s="69"/>
      <c r="FD82" s="69"/>
      <c r="FE82" s="69"/>
      <c r="FF82" s="69"/>
      <c r="FG82" s="69"/>
      <c r="FH82" s="69"/>
      <c r="FI82" s="69"/>
      <c r="FJ82" s="69"/>
      <c r="FK82" s="69"/>
      <c r="FL82" s="69"/>
      <c r="FM82" s="69"/>
      <c r="FN82" s="69"/>
      <c r="FO82" s="69"/>
      <c r="FP82" s="69"/>
      <c r="FQ82" s="69"/>
      <c r="FR82" s="69"/>
      <c r="FS82" s="69"/>
      <c r="FT82" s="69"/>
      <c r="FU82" s="69"/>
      <c r="FV82" s="69"/>
      <c r="FW82" s="69"/>
      <c r="FX82" s="69"/>
      <c r="FY82" s="69"/>
      <c r="FZ82" s="69"/>
      <c r="GA82" s="69"/>
      <c r="GB82" s="69"/>
      <c r="GC82" s="69"/>
      <c r="GD82" s="69"/>
      <c r="GE82" s="69"/>
      <c r="GF82" s="69"/>
      <c r="GG82" s="69"/>
      <c r="GH82" s="69"/>
    </row>
    <row r="83" spans="2:191" s="68" customFormat="1" ht="42" customHeight="1" x14ac:dyDescent="0.2">
      <c r="B83" s="679" t="s">
        <v>419</v>
      </c>
      <c r="C83" s="680"/>
      <c r="D83" s="680"/>
      <c r="E83" s="680"/>
      <c r="F83" s="680"/>
      <c r="G83" s="680"/>
      <c r="H83" s="680"/>
      <c r="I83" s="680"/>
      <c r="J83" s="680"/>
      <c r="K83" s="680"/>
      <c r="L83" s="680"/>
      <c r="M83" s="681"/>
      <c r="N83" s="81"/>
      <c r="O83" s="923"/>
      <c r="P83" s="913"/>
      <c r="Q83" s="913"/>
      <c r="R83" s="913"/>
      <c r="S83" s="913"/>
      <c r="T83" s="913"/>
      <c r="U83" s="913"/>
      <c r="V83" s="913"/>
      <c r="W83" s="913"/>
      <c r="X83" s="923"/>
      <c r="Y83" s="913"/>
      <c r="Z83" s="913"/>
      <c r="AA83" s="913"/>
      <c r="AB83" s="913"/>
      <c r="AC83" s="913"/>
      <c r="AD83" s="913"/>
      <c r="AE83" s="913"/>
      <c r="AF83" s="913"/>
      <c r="AG83" s="70"/>
      <c r="AH83" s="923"/>
      <c r="AI83" s="913"/>
      <c r="AJ83" s="913"/>
      <c r="AK83" s="913"/>
      <c r="AL83" s="913"/>
      <c r="AM83" s="913"/>
      <c r="AN83" s="913"/>
      <c r="AO83" s="913"/>
      <c r="AP83" s="913"/>
      <c r="AQ83" s="913"/>
      <c r="AR83" s="913"/>
      <c r="AS83" s="913"/>
      <c r="AT83" s="913"/>
      <c r="AU83" s="913"/>
      <c r="AV83" s="913"/>
      <c r="AW83" s="913"/>
      <c r="AX83" s="913"/>
      <c r="AY83" s="913"/>
      <c r="AZ83" s="913"/>
      <c r="BA83" s="913"/>
      <c r="BB83" s="913"/>
      <c r="BC83" s="913"/>
      <c r="BD83" s="913"/>
      <c r="BE83" s="913"/>
      <c r="BF83" s="913"/>
      <c r="BG83" s="913"/>
      <c r="BH83" s="913"/>
      <c r="BI83" s="79"/>
      <c r="BJ83" s="913"/>
      <c r="BK83" s="913"/>
      <c r="BL83" s="913"/>
      <c r="BM83" s="913"/>
      <c r="BN83" s="913"/>
      <c r="BO83" s="913"/>
      <c r="BP83" s="913"/>
      <c r="BQ83" s="913"/>
      <c r="BR83" s="913"/>
      <c r="BS83" s="913">
        <f>PREVENÇÃO!W57*PREVENÇÃO!F67/TUTORIAL!V143</f>
        <v>0</v>
      </c>
      <c r="BT83" s="913"/>
      <c r="BU83" s="913"/>
      <c r="BV83" s="913"/>
      <c r="BW83" s="913"/>
      <c r="BX83" s="913"/>
      <c r="BY83" s="913"/>
      <c r="BZ83" s="913"/>
      <c r="CA83" s="914"/>
      <c r="CB83" s="70"/>
      <c r="CC83" s="923"/>
      <c r="CD83" s="913"/>
      <c r="CE83" s="913"/>
      <c r="CF83" s="913"/>
      <c r="CG83" s="913"/>
      <c r="CH83" s="913"/>
      <c r="CI83" s="913"/>
      <c r="CJ83" s="913"/>
      <c r="CK83" s="914"/>
      <c r="CL83" s="1"/>
      <c r="CM83" s="72"/>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70"/>
      <c r="ES83" s="70"/>
      <c r="ET83" s="70"/>
      <c r="EU83" s="70"/>
      <c r="EV83" s="70"/>
      <c r="EW83" s="70"/>
      <c r="EX83" s="70"/>
      <c r="EY83" s="70"/>
      <c r="EZ83" s="70"/>
      <c r="FA83" s="70"/>
      <c r="FB83" s="69"/>
      <c r="FC83" s="69"/>
      <c r="FD83" s="69"/>
      <c r="FE83" s="69"/>
      <c r="FF83" s="69"/>
      <c r="FG83" s="69"/>
      <c r="FH83" s="69"/>
      <c r="FI83" s="69"/>
      <c r="FJ83" s="69"/>
      <c r="FK83" s="69"/>
      <c r="FL83" s="69"/>
      <c r="FM83" s="69"/>
      <c r="FN83" s="69"/>
      <c r="FO83" s="69"/>
      <c r="FP83" s="69"/>
      <c r="FQ83" s="69"/>
      <c r="FR83" s="69"/>
      <c r="FS83" s="69"/>
      <c r="FT83" s="69"/>
      <c r="FU83" s="69"/>
      <c r="FV83" s="69"/>
      <c r="FW83" s="69"/>
      <c r="FX83" s="69"/>
      <c r="FY83" s="69"/>
      <c r="FZ83" s="69"/>
      <c r="GA83" s="69"/>
      <c r="GB83" s="69"/>
      <c r="GC83" s="69"/>
      <c r="GD83" s="69"/>
      <c r="GE83" s="69"/>
      <c r="GF83" s="69"/>
      <c r="GG83" s="69"/>
      <c r="GH83" s="69"/>
    </row>
    <row r="84" spans="2:191" s="68" customFormat="1" ht="45" customHeight="1" x14ac:dyDescent="0.2">
      <c r="B84" s="679" t="s">
        <v>420</v>
      </c>
      <c r="C84" s="680"/>
      <c r="D84" s="680"/>
      <c r="E84" s="680"/>
      <c r="F84" s="680"/>
      <c r="G84" s="680"/>
      <c r="H84" s="680"/>
      <c r="I84" s="680"/>
      <c r="J84" s="680"/>
      <c r="K84" s="680"/>
      <c r="L84" s="680"/>
      <c r="M84" s="681"/>
      <c r="N84" s="81"/>
      <c r="O84" s="923"/>
      <c r="P84" s="913"/>
      <c r="Q84" s="913"/>
      <c r="R84" s="913"/>
      <c r="S84" s="913"/>
      <c r="T84" s="913"/>
      <c r="U84" s="913"/>
      <c r="V84" s="913"/>
      <c r="W84" s="913"/>
      <c r="X84" s="923"/>
      <c r="Y84" s="913"/>
      <c r="Z84" s="913"/>
      <c r="AA84" s="913"/>
      <c r="AB84" s="913"/>
      <c r="AC84" s="913"/>
      <c r="AD84" s="913"/>
      <c r="AE84" s="913"/>
      <c r="AF84" s="913"/>
      <c r="AG84" s="70"/>
      <c r="AH84" s="923"/>
      <c r="AI84" s="913"/>
      <c r="AJ84" s="913"/>
      <c r="AK84" s="913"/>
      <c r="AL84" s="913"/>
      <c r="AM84" s="913"/>
      <c r="AN84" s="913"/>
      <c r="AO84" s="913"/>
      <c r="AP84" s="913"/>
      <c r="AQ84" s="913"/>
      <c r="AR84" s="913"/>
      <c r="AS84" s="913"/>
      <c r="AT84" s="913"/>
      <c r="AU84" s="913"/>
      <c r="AV84" s="913"/>
      <c r="AW84" s="913"/>
      <c r="AX84" s="913"/>
      <c r="AY84" s="913"/>
      <c r="AZ84" s="913"/>
      <c r="BA84" s="913"/>
      <c r="BB84" s="913"/>
      <c r="BC84" s="913"/>
      <c r="BD84" s="913"/>
      <c r="BE84" s="913"/>
      <c r="BF84" s="913"/>
      <c r="BG84" s="913"/>
      <c r="BH84" s="913"/>
      <c r="BI84" s="79"/>
      <c r="BJ84" s="913"/>
      <c r="BK84" s="913"/>
      <c r="BL84" s="913"/>
      <c r="BM84" s="913"/>
      <c r="BN84" s="913"/>
      <c r="BO84" s="913"/>
      <c r="BP84" s="913"/>
      <c r="BQ84" s="913"/>
      <c r="BR84" s="913"/>
      <c r="BS84" s="913">
        <f>PREVENÇÃO!W58*PREVENÇÃO!F68/TUTORIAL!V143</f>
        <v>0</v>
      </c>
      <c r="BT84" s="913"/>
      <c r="BU84" s="913"/>
      <c r="BV84" s="913"/>
      <c r="BW84" s="913"/>
      <c r="BX84" s="913"/>
      <c r="BY84" s="913"/>
      <c r="BZ84" s="913"/>
      <c r="CA84" s="914"/>
      <c r="CB84" s="70"/>
      <c r="CC84" s="923"/>
      <c r="CD84" s="913"/>
      <c r="CE84" s="913"/>
      <c r="CF84" s="913"/>
      <c r="CG84" s="913"/>
      <c r="CH84" s="913"/>
      <c r="CI84" s="913"/>
      <c r="CJ84" s="913"/>
      <c r="CK84" s="914"/>
      <c r="CL84" s="1"/>
      <c r="CM84" s="72"/>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70"/>
      <c r="ES84" s="70"/>
      <c r="ET84" s="70"/>
      <c r="EU84" s="70"/>
      <c r="EV84" s="70"/>
      <c r="EW84" s="70"/>
      <c r="EX84" s="70"/>
      <c r="EY84" s="70"/>
      <c r="EZ84" s="70"/>
      <c r="FA84" s="70"/>
      <c r="FB84" s="69"/>
      <c r="FC84" s="69"/>
      <c r="FD84" s="69"/>
      <c r="FE84" s="69"/>
      <c r="FF84" s="69"/>
      <c r="FG84" s="69"/>
      <c r="FH84" s="69"/>
      <c r="FI84" s="69"/>
      <c r="FJ84" s="69"/>
      <c r="FK84" s="69"/>
      <c r="FL84" s="69"/>
      <c r="FM84" s="69"/>
      <c r="FN84" s="69"/>
      <c r="FO84" s="69"/>
      <c r="FP84" s="69"/>
      <c r="FQ84" s="69"/>
      <c r="FR84" s="69"/>
      <c r="FS84" s="69"/>
      <c r="FT84" s="69"/>
      <c r="FU84" s="69"/>
      <c r="FV84" s="69"/>
      <c r="FW84" s="69"/>
      <c r="FX84" s="69"/>
      <c r="FY84" s="69"/>
      <c r="FZ84" s="69"/>
      <c r="GA84" s="69"/>
      <c r="GB84" s="69"/>
      <c r="GC84" s="69"/>
      <c r="GD84" s="69"/>
      <c r="GE84" s="69"/>
      <c r="GF84" s="69"/>
      <c r="GG84" s="69"/>
      <c r="GH84" s="69"/>
    </row>
    <row r="85" spans="2:191" s="68" customFormat="1" ht="30" customHeight="1" x14ac:dyDescent="0.2">
      <c r="B85" s="679" t="s">
        <v>228</v>
      </c>
      <c r="C85" s="680"/>
      <c r="D85" s="680"/>
      <c r="E85" s="680"/>
      <c r="F85" s="680"/>
      <c r="G85" s="680"/>
      <c r="H85" s="680"/>
      <c r="I85" s="680"/>
      <c r="J85" s="680"/>
      <c r="K85" s="680"/>
      <c r="L85" s="680"/>
      <c r="M85" s="681"/>
      <c r="N85" s="81"/>
      <c r="O85" s="923"/>
      <c r="P85" s="913"/>
      <c r="Q85" s="913"/>
      <c r="R85" s="913"/>
      <c r="S85" s="913"/>
      <c r="T85" s="913"/>
      <c r="U85" s="913"/>
      <c r="V85" s="913"/>
      <c r="W85" s="913"/>
      <c r="X85" s="923"/>
      <c r="Y85" s="913"/>
      <c r="Z85" s="913"/>
      <c r="AA85" s="913"/>
      <c r="AB85" s="913"/>
      <c r="AC85" s="913"/>
      <c r="AD85" s="913"/>
      <c r="AE85" s="913"/>
      <c r="AF85" s="913"/>
      <c r="AG85" s="70"/>
      <c r="AH85" s="923"/>
      <c r="AI85" s="913"/>
      <c r="AJ85" s="913"/>
      <c r="AK85" s="913"/>
      <c r="AL85" s="913"/>
      <c r="AM85" s="913"/>
      <c r="AN85" s="913"/>
      <c r="AO85" s="913"/>
      <c r="AP85" s="913"/>
      <c r="AQ85" s="913"/>
      <c r="AR85" s="913"/>
      <c r="AS85" s="913"/>
      <c r="AT85" s="913"/>
      <c r="AU85" s="913"/>
      <c r="AV85" s="913"/>
      <c r="AW85" s="913"/>
      <c r="AX85" s="913"/>
      <c r="AY85" s="913"/>
      <c r="AZ85" s="913"/>
      <c r="BA85" s="913"/>
      <c r="BB85" s="913"/>
      <c r="BC85" s="913"/>
      <c r="BD85" s="913"/>
      <c r="BE85" s="913"/>
      <c r="BF85" s="913"/>
      <c r="BG85" s="913"/>
      <c r="BH85" s="913"/>
      <c r="BI85" s="79"/>
      <c r="BJ85" s="913"/>
      <c r="BK85" s="913"/>
      <c r="BL85" s="913"/>
      <c r="BM85" s="913"/>
      <c r="BN85" s="913"/>
      <c r="BO85" s="913"/>
      <c r="BP85" s="913"/>
      <c r="BQ85" s="913"/>
      <c r="BR85" s="913"/>
      <c r="BS85" s="913">
        <f>PREVENÇÃO!W59*PREVENÇÃO!F69/TUTORIAL!V143</f>
        <v>0</v>
      </c>
      <c r="BT85" s="913"/>
      <c r="BU85" s="913"/>
      <c r="BV85" s="913"/>
      <c r="BW85" s="913"/>
      <c r="BX85" s="913"/>
      <c r="BY85" s="913"/>
      <c r="BZ85" s="913"/>
      <c r="CA85" s="914"/>
      <c r="CB85" s="70"/>
      <c r="CC85" s="923"/>
      <c r="CD85" s="913"/>
      <c r="CE85" s="913"/>
      <c r="CF85" s="913"/>
      <c r="CG85" s="913"/>
      <c r="CH85" s="913"/>
      <c r="CI85" s="913"/>
      <c r="CJ85" s="913"/>
      <c r="CK85" s="914"/>
      <c r="CL85" s="1"/>
      <c r="CM85" s="72"/>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70"/>
      <c r="ES85" s="70"/>
      <c r="ET85" s="70"/>
      <c r="EU85" s="70"/>
      <c r="EV85" s="70"/>
      <c r="EW85" s="70"/>
      <c r="EX85" s="70"/>
      <c r="EY85" s="70"/>
      <c r="EZ85" s="70"/>
      <c r="FA85" s="70"/>
      <c r="FB85" s="69"/>
      <c r="FC85" s="69"/>
      <c r="FD85" s="69"/>
      <c r="FE85" s="69"/>
      <c r="FF85" s="69"/>
      <c r="FG85" s="69"/>
      <c r="FH85" s="69"/>
      <c r="FI85" s="69"/>
      <c r="FJ85" s="69"/>
      <c r="FK85" s="69"/>
      <c r="FL85" s="69"/>
      <c r="FM85" s="69"/>
      <c r="FN85" s="69"/>
      <c r="FO85" s="69"/>
      <c r="FP85" s="69"/>
      <c r="FQ85" s="69"/>
      <c r="FR85" s="69"/>
      <c r="FS85" s="69"/>
      <c r="FT85" s="69"/>
      <c r="FU85" s="69"/>
      <c r="FV85" s="69"/>
      <c r="FW85" s="69"/>
      <c r="FX85" s="69"/>
      <c r="FY85" s="69"/>
      <c r="FZ85" s="69"/>
      <c r="GA85" s="69"/>
      <c r="GB85" s="69"/>
      <c r="GC85" s="69"/>
      <c r="GD85" s="69"/>
      <c r="GE85" s="69"/>
      <c r="GF85" s="69"/>
      <c r="GG85" s="69"/>
      <c r="GH85" s="69"/>
    </row>
    <row r="86" spans="2:191" ht="15.75" customHeight="1" x14ac:dyDescent="0.25">
      <c r="B86" s="83"/>
      <c r="C86" s="83"/>
      <c r="D86" s="83"/>
      <c r="E86" s="83"/>
      <c r="F86" s="83"/>
      <c r="G86" s="83"/>
      <c r="H86" s="83"/>
      <c r="I86" s="83"/>
      <c r="J86" s="83"/>
      <c r="K86" s="83"/>
      <c r="L86" s="83"/>
      <c r="M86" s="84"/>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5"/>
      <c r="BW86" s="85"/>
      <c r="BX86" s="85"/>
      <c r="BY86" s="85"/>
      <c r="BZ86" s="85"/>
      <c r="CA86" s="85"/>
      <c r="CB86" s="85"/>
      <c r="CC86" s="85"/>
      <c r="CD86" s="85"/>
      <c r="CE86" s="85"/>
      <c r="CF86" s="85"/>
      <c r="CG86" s="85"/>
      <c r="CH86" s="85"/>
      <c r="CI86" s="85"/>
      <c r="CJ86" s="85"/>
      <c r="CK86" s="85"/>
      <c r="CL86" s="85"/>
      <c r="CM86" s="86"/>
      <c r="CN86" s="85"/>
      <c r="CO86" s="85"/>
      <c r="CP86" s="85"/>
      <c r="CQ86" s="85"/>
      <c r="CR86" s="85"/>
      <c r="CS86" s="85"/>
      <c r="CT86" s="85"/>
      <c r="CU86" s="85"/>
      <c r="CV86" s="85"/>
      <c r="CW86" s="85"/>
      <c r="CX86" s="85"/>
      <c r="CY86" s="85"/>
      <c r="CZ86" s="85"/>
      <c r="DA86" s="85"/>
      <c r="DB86" s="85"/>
      <c r="DC86" s="85"/>
      <c r="DD86" s="85"/>
      <c r="DE86" s="85"/>
      <c r="DF86" s="85"/>
      <c r="DG86" s="85"/>
      <c r="DH86" s="85"/>
      <c r="DI86" s="85"/>
      <c r="DJ86" s="85"/>
      <c r="DK86" s="85"/>
      <c r="DL86" s="85"/>
      <c r="DM86" s="85"/>
      <c r="DN86" s="85"/>
      <c r="DO86" s="85"/>
      <c r="DP86" s="85"/>
      <c r="DQ86" s="85"/>
      <c r="DR86" s="85"/>
      <c r="DS86" s="85"/>
      <c r="DT86" s="85"/>
      <c r="DU86" s="85"/>
      <c r="DV86" s="85"/>
      <c r="DW86" s="85"/>
      <c r="DX86" s="68"/>
      <c r="DY86" s="85"/>
      <c r="DZ86" s="85"/>
      <c r="EA86" s="85"/>
    </row>
    <row r="87" spans="2:191" s="68" customFormat="1" ht="24.75" customHeight="1" x14ac:dyDescent="0.2">
      <c r="B87" s="891" t="s">
        <v>466</v>
      </c>
      <c r="C87" s="891"/>
      <c r="D87" s="891"/>
      <c r="E87" s="891"/>
      <c r="F87" s="891"/>
      <c r="G87" s="891"/>
      <c r="H87" s="891"/>
      <c r="I87" s="891"/>
      <c r="J87" s="891"/>
      <c r="K87" s="891"/>
      <c r="L87" s="891"/>
      <c r="M87" s="891"/>
      <c r="N87" s="81"/>
      <c r="O87" s="892">
        <f>SUM(O81:W85)</f>
        <v>0</v>
      </c>
      <c r="P87" s="892"/>
      <c r="Q87" s="892"/>
      <c r="R87" s="892"/>
      <c r="S87" s="892"/>
      <c r="T87" s="892"/>
      <c r="U87" s="892"/>
      <c r="V87" s="892"/>
      <c r="W87" s="892"/>
      <c r="X87" s="892">
        <f>SUM(X81:AF85)</f>
        <v>0</v>
      </c>
      <c r="Y87" s="892"/>
      <c r="Z87" s="892"/>
      <c r="AA87" s="892"/>
      <c r="AB87" s="892"/>
      <c r="AC87" s="892"/>
      <c r="AD87" s="892"/>
      <c r="AE87" s="892"/>
      <c r="AF87" s="892"/>
      <c r="AG87" s="70"/>
      <c r="AH87" s="892">
        <f>SUM(AH81:AP85)</f>
        <v>0</v>
      </c>
      <c r="AI87" s="892"/>
      <c r="AJ87" s="892"/>
      <c r="AK87" s="892"/>
      <c r="AL87" s="892"/>
      <c r="AM87" s="892"/>
      <c r="AN87" s="892"/>
      <c r="AO87" s="892"/>
      <c r="AP87" s="892"/>
      <c r="AQ87" s="892">
        <f>SUM(AQ81:AY85)</f>
        <v>0</v>
      </c>
      <c r="AR87" s="892"/>
      <c r="AS87" s="892"/>
      <c r="AT87" s="892"/>
      <c r="AU87" s="892"/>
      <c r="AV87" s="892"/>
      <c r="AW87" s="892"/>
      <c r="AX87" s="892"/>
      <c r="AY87" s="892"/>
      <c r="AZ87" s="892">
        <f>SUM(AZ81:BH85)</f>
        <v>0</v>
      </c>
      <c r="BA87" s="892"/>
      <c r="BB87" s="892"/>
      <c r="BC87" s="892"/>
      <c r="BD87" s="892"/>
      <c r="BE87" s="892"/>
      <c r="BF87" s="892"/>
      <c r="BG87" s="892"/>
      <c r="BH87" s="892"/>
      <c r="BI87" s="70"/>
      <c r="BJ87" s="892">
        <f>SUM(BJ81:BR85)</f>
        <v>0</v>
      </c>
      <c r="BK87" s="892"/>
      <c r="BL87" s="892"/>
      <c r="BM87" s="892"/>
      <c r="BN87" s="892"/>
      <c r="BO87" s="892"/>
      <c r="BP87" s="892"/>
      <c r="BQ87" s="892"/>
      <c r="BR87" s="892"/>
      <c r="BS87" s="892">
        <f>SUM(BS81:CA85)-(BS39+BS49+BS61)</f>
        <v>-69.392858750000016</v>
      </c>
      <c r="BT87" s="892"/>
      <c r="BU87" s="892"/>
      <c r="BV87" s="892"/>
      <c r="BW87" s="892"/>
      <c r="BX87" s="892"/>
      <c r="BY87" s="892"/>
      <c r="BZ87" s="892"/>
      <c r="CA87" s="892"/>
      <c r="CB87" s="70"/>
      <c r="CC87" s="892">
        <f>SUM(CC81:CK85)</f>
        <v>0</v>
      </c>
      <c r="CD87" s="892"/>
      <c r="CE87" s="892"/>
      <c r="CF87" s="892"/>
      <c r="CG87" s="892"/>
      <c r="CH87" s="892"/>
      <c r="CI87" s="892"/>
      <c r="CJ87" s="892"/>
      <c r="CK87" s="892"/>
      <c r="CL87" s="1"/>
      <c r="CM87" s="72"/>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70"/>
      <c r="ES87" s="70"/>
      <c r="ET87" s="70"/>
      <c r="EU87" s="70"/>
      <c r="EV87" s="70"/>
      <c r="EW87" s="70"/>
      <c r="EX87" s="70"/>
      <c r="EY87" s="70"/>
      <c r="EZ87" s="70"/>
      <c r="FA87" s="70"/>
      <c r="FB87" s="69"/>
      <c r="FC87" s="69"/>
      <c r="FD87" s="69"/>
      <c r="FE87" s="69"/>
      <c r="FF87" s="69"/>
      <c r="FG87" s="69"/>
      <c r="FH87" s="69"/>
      <c r="FI87" s="69"/>
      <c r="FJ87" s="69"/>
      <c r="FK87" s="69"/>
      <c r="FL87" s="69"/>
      <c r="FM87" s="69"/>
      <c r="FN87" s="69"/>
      <c r="FO87" s="69"/>
      <c r="FP87" s="69"/>
      <c r="FQ87" s="69"/>
      <c r="FR87" s="69"/>
      <c r="FS87" s="69"/>
      <c r="FT87" s="69"/>
      <c r="FU87" s="69"/>
      <c r="FV87" s="69"/>
      <c r="FW87" s="69"/>
      <c r="FX87" s="69"/>
      <c r="FY87" s="69"/>
      <c r="FZ87" s="69"/>
      <c r="GA87" s="69"/>
      <c r="GB87" s="69"/>
      <c r="GC87" s="69"/>
      <c r="GD87" s="69"/>
      <c r="GE87" s="69"/>
      <c r="GF87" s="69"/>
      <c r="GG87" s="69"/>
      <c r="GH87" s="69"/>
    </row>
    <row r="88" spans="2:191" s="68" customFormat="1" ht="7.5" customHeight="1" x14ac:dyDescent="0.2">
      <c r="B88" s="81"/>
      <c r="C88" s="81"/>
      <c r="D88" s="81"/>
      <c r="E88" s="81"/>
      <c r="F88" s="81"/>
      <c r="G88" s="81"/>
      <c r="H88" s="81"/>
      <c r="I88" s="81"/>
      <c r="J88" s="81"/>
      <c r="K88" s="81"/>
      <c r="L88" s="81"/>
      <c r="M88" s="81"/>
      <c r="N88" s="81"/>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1"/>
      <c r="CM88" s="72"/>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70"/>
      <c r="ES88" s="70"/>
      <c r="ET88" s="70"/>
      <c r="EU88" s="70"/>
      <c r="EV88" s="70"/>
      <c r="EW88" s="70"/>
      <c r="EX88" s="70"/>
      <c r="EY88" s="70"/>
      <c r="EZ88" s="70"/>
      <c r="FA88" s="70"/>
      <c r="FB88" s="69"/>
      <c r="FC88" s="69"/>
      <c r="FD88" s="69"/>
      <c r="FE88" s="69"/>
      <c r="FF88" s="69"/>
      <c r="FG88" s="69"/>
      <c r="FH88" s="69"/>
      <c r="FI88" s="69"/>
      <c r="FJ88" s="69"/>
      <c r="FK88" s="69"/>
      <c r="FL88" s="69"/>
      <c r="FM88" s="69"/>
      <c r="FN88" s="69"/>
      <c r="FO88" s="69"/>
      <c r="FP88" s="69"/>
      <c r="FQ88" s="69"/>
      <c r="FR88" s="69"/>
      <c r="FS88" s="69"/>
      <c r="FT88" s="69"/>
      <c r="FU88" s="69"/>
      <c r="FV88" s="69"/>
      <c r="FW88" s="69"/>
      <c r="FX88" s="69"/>
      <c r="FY88" s="69"/>
      <c r="FZ88" s="69"/>
      <c r="GA88" s="69"/>
      <c r="GB88" s="69"/>
      <c r="GC88" s="69"/>
      <c r="GD88" s="69"/>
      <c r="GE88" s="69"/>
      <c r="GF88" s="69"/>
      <c r="GG88" s="69"/>
      <c r="GH88" s="69"/>
    </row>
    <row r="89" spans="2:191" s="68" customFormat="1" ht="20.100000000000001" customHeight="1" x14ac:dyDescent="0.2">
      <c r="B89" s="891" t="s">
        <v>471</v>
      </c>
      <c r="C89" s="891"/>
      <c r="D89" s="891"/>
      <c r="E89" s="891"/>
      <c r="F89" s="891"/>
      <c r="G89" s="891"/>
      <c r="H89" s="891"/>
      <c r="I89" s="891"/>
      <c r="J89" s="891"/>
      <c r="K89" s="891"/>
      <c r="L89" s="891"/>
      <c r="M89" s="891"/>
      <c r="N89" s="81"/>
      <c r="O89" s="892"/>
      <c r="P89" s="892"/>
      <c r="Q89" s="892"/>
      <c r="R89" s="892"/>
      <c r="S89" s="892"/>
      <c r="T89" s="892"/>
      <c r="U89" s="892"/>
      <c r="V89" s="892"/>
      <c r="W89" s="892"/>
      <c r="X89" s="892"/>
      <c r="Y89" s="892"/>
      <c r="Z89" s="892"/>
      <c r="AA89" s="892"/>
      <c r="AB89" s="892"/>
      <c r="AC89" s="892"/>
      <c r="AD89" s="892"/>
      <c r="AE89" s="892"/>
      <c r="AF89" s="892"/>
      <c r="AG89" s="70"/>
      <c r="AH89" s="892"/>
      <c r="AI89" s="892"/>
      <c r="AJ89" s="892"/>
      <c r="AK89" s="892"/>
      <c r="AL89" s="892"/>
      <c r="AM89" s="892"/>
      <c r="AN89" s="892"/>
      <c r="AO89" s="892"/>
      <c r="AP89" s="892"/>
      <c r="AQ89" s="892"/>
      <c r="AR89" s="892"/>
      <c r="AS89" s="892"/>
      <c r="AT89" s="892"/>
      <c r="AU89" s="892"/>
      <c r="AV89" s="892"/>
      <c r="AW89" s="892"/>
      <c r="AX89" s="892"/>
      <c r="AY89" s="892"/>
      <c r="AZ89" s="892"/>
      <c r="BA89" s="892"/>
      <c r="BB89" s="892"/>
      <c r="BC89" s="892"/>
      <c r="BD89" s="892"/>
      <c r="BE89" s="892"/>
      <c r="BF89" s="892"/>
      <c r="BG89" s="892"/>
      <c r="BH89" s="892"/>
      <c r="BI89" s="70"/>
      <c r="BJ89" s="892">
        <f>(EQUIPE!E45*CADASTRO!AX42)+(EQUIPE!E46*CADASTRO!BH42)+(EQUIPE!E47*CADASTRO!BN42)+(EQUIPE!E48*CADASTRO!BU42)+(EQUIPE!E49*CADASTRO!CB42)-BJ87-BJ78-BJ68-BJ61-BJ49-BJ39-BJ32-BJ19-BJ14</f>
        <v>-1597.2430399999998</v>
      </c>
      <c r="BK89" s="892"/>
      <c r="BL89" s="892"/>
      <c r="BM89" s="892"/>
      <c r="BN89" s="892"/>
      <c r="BO89" s="892"/>
      <c r="BP89" s="892"/>
      <c r="BQ89" s="892"/>
      <c r="BR89" s="892"/>
      <c r="BS89" s="892"/>
      <c r="BT89" s="892"/>
      <c r="BU89" s="892"/>
      <c r="BV89" s="892"/>
      <c r="BW89" s="892"/>
      <c r="BX89" s="892"/>
      <c r="BY89" s="892"/>
      <c r="BZ89" s="892"/>
      <c r="CA89" s="892"/>
      <c r="CB89" s="70"/>
      <c r="CC89" s="892"/>
      <c r="CD89" s="892"/>
      <c r="CE89" s="892"/>
      <c r="CF89" s="892"/>
      <c r="CG89" s="892"/>
      <c r="CH89" s="892"/>
      <c r="CI89" s="892"/>
      <c r="CJ89" s="892"/>
      <c r="CK89" s="892"/>
      <c r="CL89" s="1"/>
      <c r="CM89" s="72"/>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70"/>
      <c r="ES89" s="70"/>
      <c r="ET89" s="70"/>
      <c r="EU89" s="70"/>
      <c r="EV89" s="70"/>
      <c r="EW89" s="70"/>
      <c r="EX89" s="70"/>
      <c r="EY89" s="70"/>
      <c r="EZ89" s="70"/>
      <c r="FA89" s="70"/>
      <c r="FB89" s="69"/>
      <c r="FC89" s="69"/>
      <c r="FD89" s="69"/>
      <c r="FE89" s="69"/>
      <c r="FF89" s="69"/>
      <c r="FG89" s="69"/>
      <c r="FH89" s="69"/>
      <c r="FI89" s="69"/>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row>
    <row r="90" spans="2:191" s="68" customFormat="1" ht="20.100000000000001" customHeight="1" x14ac:dyDescent="0.2">
      <c r="B90" s="81"/>
      <c r="C90" s="81"/>
      <c r="D90" s="81"/>
      <c r="E90" s="81"/>
      <c r="F90" s="81"/>
      <c r="G90" s="81"/>
      <c r="H90" s="81"/>
      <c r="I90" s="81"/>
      <c r="J90" s="81"/>
      <c r="K90" s="81"/>
      <c r="L90" s="81"/>
      <c r="M90" s="81"/>
      <c r="N90" s="81"/>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1"/>
      <c r="CM90" s="72"/>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70"/>
      <c r="ES90" s="70"/>
      <c r="ET90" s="70"/>
      <c r="EU90" s="70"/>
      <c r="EV90" s="70"/>
      <c r="EW90" s="70"/>
      <c r="EX90" s="70"/>
      <c r="EY90" s="70"/>
      <c r="EZ90" s="70"/>
      <c r="FA90" s="70"/>
      <c r="FB90" s="69"/>
      <c r="FC90" s="69"/>
      <c r="FD90" s="69"/>
      <c r="FE90" s="69"/>
      <c r="FF90" s="69"/>
      <c r="FG90" s="69"/>
      <c r="FH90" s="69"/>
      <c r="FI90" s="69"/>
      <c r="FJ90" s="69"/>
      <c r="FK90" s="69"/>
      <c r="FL90" s="69"/>
      <c r="FM90" s="69"/>
      <c r="FN90" s="69"/>
      <c r="FO90" s="69"/>
      <c r="FP90" s="69"/>
      <c r="FQ90" s="69"/>
      <c r="FR90" s="69"/>
      <c r="FS90" s="69"/>
      <c r="FT90" s="69"/>
      <c r="FU90" s="69"/>
      <c r="FV90" s="69"/>
      <c r="FW90" s="69"/>
      <c r="FX90" s="69"/>
      <c r="FY90" s="69"/>
      <c r="FZ90" s="69"/>
      <c r="GA90" s="69"/>
      <c r="GB90" s="69"/>
      <c r="GC90" s="69"/>
      <c r="GD90" s="69"/>
      <c r="GE90" s="69"/>
      <c r="GF90" s="69"/>
      <c r="GG90" s="69"/>
      <c r="GH90" s="69"/>
    </row>
    <row r="91" spans="2:191" ht="7.5" customHeight="1" x14ac:dyDescent="0.25">
      <c r="B91" s="83"/>
      <c r="C91" s="83"/>
      <c r="D91" s="83"/>
      <c r="E91" s="83"/>
      <c r="F91" s="83"/>
      <c r="G91" s="83"/>
      <c r="H91" s="83"/>
      <c r="I91" s="83"/>
      <c r="J91" s="83"/>
      <c r="K91" s="83"/>
      <c r="L91" s="83"/>
      <c r="M91" s="84"/>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6"/>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68"/>
      <c r="DY91" s="85"/>
      <c r="DZ91" s="85"/>
      <c r="EA91" s="85"/>
    </row>
    <row r="92" spans="2:191" ht="20.100000000000001" customHeight="1" x14ac:dyDescent="0.25">
      <c r="B92" s="996" t="s">
        <v>460</v>
      </c>
      <c r="C92" s="996"/>
      <c r="D92" s="996"/>
      <c r="E92" s="996"/>
      <c r="F92" s="996"/>
      <c r="G92" s="996"/>
      <c r="H92" s="996"/>
      <c r="I92" s="996"/>
      <c r="J92" s="996"/>
      <c r="K92" s="996"/>
      <c r="L92" s="996"/>
      <c r="M92" s="996"/>
      <c r="N92" s="103"/>
      <c r="O92" s="890">
        <f>SUM(O14,O19,O32,O39,O49,O61,O68,O78)</f>
        <v>1024.0421249999999</v>
      </c>
      <c r="P92" s="890"/>
      <c r="Q92" s="890"/>
      <c r="R92" s="890"/>
      <c r="S92" s="890"/>
      <c r="T92" s="890"/>
      <c r="U92" s="890"/>
      <c r="V92" s="890"/>
      <c r="W92" s="890"/>
      <c r="X92" s="890">
        <f>SUM(X14,X19,X32,X39,X49,X61,X68,X78)</f>
        <v>1854.6938049999999</v>
      </c>
      <c r="Y92" s="890"/>
      <c r="Z92" s="890"/>
      <c r="AA92" s="890"/>
      <c r="AB92" s="890"/>
      <c r="AC92" s="890"/>
      <c r="AD92" s="890"/>
      <c r="AE92" s="890"/>
      <c r="AF92" s="890"/>
      <c r="AG92" s="104"/>
      <c r="AH92" s="890">
        <f>SUM(AH14,AH19,AH32,AH39,AH49,AH61,AH68,AH78)</f>
        <v>1243.108336</v>
      </c>
      <c r="AI92" s="890"/>
      <c r="AJ92" s="890"/>
      <c r="AK92" s="890"/>
      <c r="AL92" s="890"/>
      <c r="AM92" s="890"/>
      <c r="AN92" s="890"/>
      <c r="AO92" s="890"/>
      <c r="AP92" s="890"/>
      <c r="AQ92" s="890">
        <f>SUM(AQ14,AQ19,AQ32,AQ39,AQ49,AQ61,AQ68,AQ78)</f>
        <v>1692.7265249999998</v>
      </c>
      <c r="AR92" s="890"/>
      <c r="AS92" s="890"/>
      <c r="AT92" s="890"/>
      <c r="AU92" s="890"/>
      <c r="AV92" s="890"/>
      <c r="AW92" s="890"/>
      <c r="AX92" s="890"/>
      <c r="AY92" s="890"/>
      <c r="AZ92" s="890">
        <f>SUM(AZ14,AZ19,AZ32,AZ39,AZ49,AZ61,AZ68,AZ78)</f>
        <v>250.82160000000005</v>
      </c>
      <c r="BA92" s="890"/>
      <c r="BB92" s="890"/>
      <c r="BC92" s="890"/>
      <c r="BD92" s="890"/>
      <c r="BE92" s="890"/>
      <c r="BF92" s="890"/>
      <c r="BG92" s="890"/>
      <c r="BH92" s="890"/>
      <c r="BI92" s="104"/>
      <c r="BJ92" s="890">
        <f>SUM(BJ14,BJ19,BJ32,BJ39,BJ49,BJ61,BJ68,BJ78,BJ89)</f>
        <v>4300</v>
      </c>
      <c r="BK92" s="890"/>
      <c r="BL92" s="890"/>
      <c r="BM92" s="890"/>
      <c r="BN92" s="890"/>
      <c r="BO92" s="890"/>
      <c r="BP92" s="890"/>
      <c r="BQ92" s="890"/>
      <c r="BR92" s="890"/>
      <c r="BS92" s="890">
        <f>SUM(BS14,BS19,BS32,BS39,BS49,BS61,BS68,BS78,BS87)</f>
        <v>634.1226999999999</v>
      </c>
      <c r="BT92" s="890"/>
      <c r="BU92" s="890"/>
      <c r="BV92" s="890"/>
      <c r="BW92" s="890"/>
      <c r="BX92" s="890"/>
      <c r="BY92" s="890"/>
      <c r="BZ92" s="890"/>
      <c r="CA92" s="890"/>
      <c r="CB92" s="104"/>
      <c r="CC92" s="890">
        <f>SUM(CC14,CC19,CC32,CC39,CC49,CC61,CC68,CC78)</f>
        <v>1059.2150750000001</v>
      </c>
      <c r="CD92" s="890"/>
      <c r="CE92" s="890"/>
      <c r="CF92" s="890"/>
      <c r="CG92" s="890"/>
      <c r="CH92" s="890"/>
      <c r="CI92" s="890"/>
      <c r="CJ92" s="890"/>
      <c r="CK92" s="890"/>
      <c r="CL92" s="105"/>
      <c r="CM92" s="106"/>
      <c r="CN92" s="107"/>
      <c r="CO92" s="107"/>
      <c r="CP92" s="107"/>
      <c r="CQ92" s="107"/>
      <c r="CR92" s="107"/>
      <c r="CS92" s="107"/>
      <c r="CT92" s="107"/>
      <c r="CU92" s="107"/>
      <c r="CV92" s="107"/>
      <c r="CW92" s="107"/>
      <c r="CX92" s="107"/>
      <c r="CY92" s="107"/>
      <c r="CZ92" s="107"/>
      <c r="DA92" s="107"/>
      <c r="DB92" s="107"/>
      <c r="DC92" s="107"/>
      <c r="DD92" s="107"/>
      <c r="DE92" s="107"/>
      <c r="DF92" s="107"/>
      <c r="DG92" s="107"/>
      <c r="DH92" s="107"/>
      <c r="DI92" s="107"/>
      <c r="DJ92" s="107"/>
      <c r="DK92" s="107"/>
      <c r="DL92" s="107"/>
      <c r="DM92" s="107"/>
      <c r="DN92" s="107"/>
      <c r="DO92" s="107"/>
      <c r="DP92" s="107"/>
      <c r="DQ92" s="107"/>
      <c r="DR92" s="107"/>
      <c r="DS92" s="107"/>
      <c r="DT92" s="107"/>
      <c r="DU92" s="107"/>
      <c r="DV92" s="107"/>
      <c r="DW92" s="107"/>
      <c r="DX92" s="107"/>
      <c r="DY92" s="107"/>
      <c r="DZ92" s="107"/>
      <c r="EA92" s="107"/>
      <c r="EB92" s="107"/>
      <c r="EC92" s="107"/>
      <c r="ED92" s="107"/>
      <c r="EE92" s="107"/>
      <c r="EF92" s="107"/>
      <c r="EG92" s="107"/>
      <c r="EH92" s="107"/>
      <c r="EI92" s="107"/>
      <c r="EJ92" s="107"/>
      <c r="EK92" s="107"/>
      <c r="EL92" s="107"/>
      <c r="EM92" s="107"/>
      <c r="EN92" s="107"/>
      <c r="EO92" s="107"/>
      <c r="EP92" s="107"/>
      <c r="EQ92" s="107"/>
      <c r="ER92" s="88"/>
      <c r="ES92" s="88"/>
      <c r="ET92" s="88"/>
      <c r="EU92" s="88"/>
      <c r="EV92" s="88"/>
      <c r="EW92" s="88"/>
      <c r="EX92" s="88"/>
      <c r="EY92" s="88"/>
      <c r="EZ92" s="88"/>
      <c r="FA92" s="8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row>
    <row r="93" spans="2:191" ht="20.100000000000001" customHeight="1" x14ac:dyDescent="0.25">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6"/>
      <c r="AX93" s="66"/>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4"/>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H93" s="65"/>
      <c r="EI93" s="65"/>
      <c r="EJ93" s="65"/>
      <c r="EK93" s="65"/>
      <c r="EL93" s="65"/>
      <c r="EM93" s="65"/>
    </row>
    <row r="94" spans="2:191" ht="20.100000000000001" customHeight="1" x14ac:dyDescent="0.25">
      <c r="B94" s="1034" t="s">
        <v>476</v>
      </c>
      <c r="C94" s="1034"/>
      <c r="D94" s="1034"/>
      <c r="E94" s="1034"/>
      <c r="F94" s="1034"/>
      <c r="G94" s="1034"/>
      <c r="H94" s="1034"/>
      <c r="I94" s="1034"/>
      <c r="J94" s="1034"/>
      <c r="K94" s="1034"/>
      <c r="L94" s="1034"/>
      <c r="M94" s="1034"/>
      <c r="N94" s="1034"/>
      <c r="O94" s="1034"/>
      <c r="P94" s="1034"/>
      <c r="Q94" s="1034"/>
      <c r="R94" s="1034"/>
      <c r="S94" s="1034"/>
      <c r="T94" s="1034"/>
      <c r="U94" s="1034"/>
      <c r="V94" s="1034"/>
      <c r="W94" s="1034"/>
      <c r="X94" s="1034"/>
      <c r="Y94" s="1034"/>
      <c r="Z94" s="1034"/>
      <c r="AA94" s="1034"/>
      <c r="AB94" s="1034"/>
      <c r="AC94" s="1034"/>
      <c r="AD94" s="1034"/>
      <c r="AE94" s="1034"/>
      <c r="AF94" s="1034"/>
      <c r="AG94" s="1034"/>
      <c r="AH94" s="1034"/>
      <c r="AI94" s="1034"/>
      <c r="AJ94" s="1034"/>
      <c r="AK94" s="1034"/>
      <c r="AL94" s="1034"/>
      <c r="AM94" s="1034"/>
      <c r="AN94" s="1034"/>
      <c r="AO94" s="1034"/>
      <c r="AP94" s="1034"/>
      <c r="AQ94" s="1034"/>
      <c r="AR94" s="1034"/>
      <c r="AS94" s="1034"/>
      <c r="AT94" s="1034"/>
      <c r="AU94" s="1034"/>
      <c r="AV94" s="1034"/>
      <c r="AW94" s="1034"/>
      <c r="AX94" s="1034"/>
      <c r="AY94" s="1034"/>
      <c r="AZ94" s="1034"/>
      <c r="BA94" s="1034"/>
      <c r="BB94" s="1034"/>
      <c r="BC94" s="1034"/>
      <c r="BD94" s="1034"/>
      <c r="BE94" s="1034"/>
      <c r="BF94" s="1034"/>
      <c r="BG94" s="1034"/>
      <c r="BH94" s="1034"/>
      <c r="BI94" s="1034"/>
      <c r="BJ94" s="1034"/>
      <c r="BK94" s="1034"/>
      <c r="BL94" s="1034"/>
      <c r="BM94" s="1034"/>
      <c r="BN94" s="1034"/>
      <c r="BO94" s="1034"/>
      <c r="BP94" s="1034"/>
      <c r="BQ94" s="1034"/>
      <c r="BR94" s="1034"/>
      <c r="BS94" s="1034"/>
      <c r="BT94" s="1034"/>
      <c r="BU94" s="1034"/>
      <c r="BV94" s="1034"/>
      <c r="BW94" s="1034"/>
      <c r="BX94" s="1034"/>
      <c r="BY94" s="1034"/>
      <c r="BZ94" s="1034"/>
      <c r="CA94" s="1034"/>
      <c r="CB94" s="1034"/>
      <c r="CC94" s="1034"/>
      <c r="CD94" s="1034"/>
      <c r="CE94" s="1034"/>
      <c r="CF94" s="1034"/>
      <c r="CG94" s="1034"/>
      <c r="CH94" s="1034"/>
      <c r="CI94" s="1034"/>
      <c r="CJ94" s="1034"/>
      <c r="CK94" s="1034"/>
      <c r="CL94" s="1034"/>
      <c r="CM94" s="1034"/>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H94" s="65"/>
      <c r="EI94" s="65"/>
      <c r="EJ94" s="65"/>
      <c r="EK94" s="65"/>
      <c r="EL94" s="65"/>
      <c r="EM94" s="65"/>
    </row>
    <row r="95" spans="2:191" ht="7.5" customHeight="1" thickBot="1" x14ac:dyDescent="0.3">
      <c r="B95" s="63"/>
      <c r="C95" s="63"/>
      <c r="D95" s="63"/>
      <c r="E95" s="63"/>
      <c r="F95" s="63"/>
      <c r="G95" s="63"/>
      <c r="H95" s="63"/>
      <c r="I95" s="63"/>
      <c r="J95" s="63"/>
      <c r="K95" s="63"/>
      <c r="L95" s="63"/>
      <c r="M95" s="63"/>
      <c r="N95" s="63"/>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3"/>
      <c r="BX95" s="63"/>
      <c r="BY95" s="63"/>
      <c r="BZ95" s="63"/>
      <c r="CA95" s="70"/>
      <c r="CB95" s="63"/>
      <c r="CC95" s="63"/>
      <c r="CD95" s="63"/>
      <c r="CE95" s="63"/>
      <c r="CF95" s="63"/>
      <c r="CG95" s="63"/>
      <c r="CH95" s="63"/>
      <c r="CI95" s="63"/>
      <c r="CJ95" s="63"/>
      <c r="CK95" s="63"/>
      <c r="CL95" s="63"/>
      <c r="CM95" s="67"/>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6"/>
      <c r="DZ95" s="68"/>
      <c r="EA95" s="68"/>
      <c r="EB95" s="68"/>
    </row>
    <row r="96" spans="2:191" s="68" customFormat="1" ht="20.100000000000001" customHeight="1" x14ac:dyDescent="0.2">
      <c r="O96" s="964" t="s">
        <v>15</v>
      </c>
      <c r="P96" s="964"/>
      <c r="Q96" s="964"/>
      <c r="R96" s="964"/>
      <c r="S96" s="964"/>
      <c r="T96" s="964"/>
      <c r="U96" s="964"/>
      <c r="V96" s="964"/>
      <c r="W96" s="964"/>
      <c r="X96" s="964"/>
      <c r="Y96" s="964"/>
      <c r="Z96" s="964"/>
      <c r="AA96" s="964"/>
      <c r="AB96" s="964"/>
      <c r="AC96" s="964"/>
      <c r="AD96" s="964"/>
      <c r="AE96" s="964"/>
      <c r="AF96" s="964"/>
      <c r="AG96" s="70"/>
      <c r="AH96" s="964" t="s">
        <v>16</v>
      </c>
      <c r="AI96" s="964"/>
      <c r="AJ96" s="964"/>
      <c r="AK96" s="964"/>
      <c r="AL96" s="964"/>
      <c r="AM96" s="964"/>
      <c r="AN96" s="964"/>
      <c r="AO96" s="964"/>
      <c r="AP96" s="964"/>
      <c r="AQ96" s="964"/>
      <c r="AR96" s="964"/>
      <c r="AS96" s="964"/>
      <c r="AT96" s="964"/>
      <c r="AU96" s="964"/>
      <c r="AV96" s="964"/>
      <c r="AW96" s="964"/>
      <c r="AX96" s="964"/>
      <c r="AY96" s="964"/>
      <c r="AZ96" s="964"/>
      <c r="BA96" s="964"/>
      <c r="BB96" s="964"/>
      <c r="BC96" s="964"/>
      <c r="BD96" s="964"/>
      <c r="BE96" s="964"/>
      <c r="BF96" s="964"/>
      <c r="BG96" s="964"/>
      <c r="BH96" s="964"/>
      <c r="BI96" s="109"/>
      <c r="BJ96" s="964" t="s">
        <v>3</v>
      </c>
      <c r="BK96" s="964"/>
      <c r="BL96" s="964"/>
      <c r="BM96" s="964"/>
      <c r="BN96" s="964"/>
      <c r="BO96" s="964"/>
      <c r="BP96" s="964"/>
      <c r="BQ96" s="964"/>
      <c r="BR96" s="964"/>
      <c r="BS96" s="893" t="s">
        <v>59</v>
      </c>
      <c r="BT96" s="893"/>
      <c r="BU96" s="893"/>
      <c r="BV96" s="893"/>
      <c r="BW96" s="893"/>
      <c r="BX96" s="893"/>
      <c r="BY96" s="893"/>
      <c r="BZ96" s="893"/>
      <c r="CA96" s="893"/>
      <c r="CB96" s="70"/>
      <c r="CC96" s="964" t="s">
        <v>475</v>
      </c>
      <c r="CD96" s="964"/>
      <c r="CE96" s="964"/>
      <c r="CF96" s="964"/>
      <c r="CG96" s="964"/>
      <c r="CH96" s="964"/>
      <c r="CI96" s="964"/>
      <c r="CJ96" s="964"/>
      <c r="CK96" s="964"/>
      <c r="CL96" s="1"/>
      <c r="CM96" s="72"/>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W96" s="73"/>
      <c r="EX96" s="73"/>
      <c r="EY96" s="73"/>
      <c r="EZ96" s="73"/>
      <c r="FA96" s="73"/>
      <c r="FB96" s="73"/>
      <c r="FC96" s="73"/>
      <c r="FD96" s="73"/>
      <c r="FE96" s="73"/>
      <c r="FF96" s="73"/>
      <c r="FG96" s="73"/>
      <c r="FH96" s="73"/>
      <c r="FI96" s="73"/>
      <c r="FJ96" s="73"/>
      <c r="FK96" s="73"/>
      <c r="FL96" s="73"/>
      <c r="FM96" s="73"/>
      <c r="FN96" s="73"/>
      <c r="FO96" s="73"/>
      <c r="FP96" s="73"/>
      <c r="FQ96" s="73"/>
      <c r="FR96" s="73"/>
      <c r="FS96" s="73"/>
      <c r="FT96" s="73"/>
      <c r="FU96" s="73"/>
      <c r="FV96" s="73"/>
      <c r="FW96" s="73"/>
      <c r="FX96" s="73"/>
      <c r="FY96" s="73"/>
      <c r="FZ96" s="73"/>
      <c r="GA96" s="73"/>
      <c r="GB96" s="73"/>
      <c r="GC96" s="73"/>
      <c r="GD96" s="73"/>
      <c r="GE96" s="73"/>
      <c r="GF96" s="73"/>
      <c r="GG96" s="73"/>
      <c r="GH96" s="73"/>
      <c r="GI96" s="66"/>
    </row>
    <row r="97" spans="1:191" s="68" customFormat="1" ht="22.5" customHeight="1" x14ac:dyDescent="0.2">
      <c r="O97" s="893" t="s">
        <v>17</v>
      </c>
      <c r="P97" s="893"/>
      <c r="Q97" s="893"/>
      <c r="R97" s="893"/>
      <c r="S97" s="893"/>
      <c r="T97" s="893"/>
      <c r="U97" s="893"/>
      <c r="V97" s="893"/>
      <c r="W97" s="893"/>
      <c r="X97" s="893" t="s">
        <v>18</v>
      </c>
      <c r="Y97" s="893"/>
      <c r="Z97" s="893"/>
      <c r="AA97" s="893"/>
      <c r="AB97" s="893"/>
      <c r="AC97" s="893"/>
      <c r="AD97" s="893"/>
      <c r="AE97" s="893"/>
      <c r="AF97" s="893"/>
      <c r="AG97" s="70"/>
      <c r="AH97" s="893" t="s">
        <v>17</v>
      </c>
      <c r="AI97" s="893"/>
      <c r="AJ97" s="893"/>
      <c r="AK97" s="893"/>
      <c r="AL97" s="893"/>
      <c r="AM97" s="893"/>
      <c r="AN97" s="893"/>
      <c r="AO97" s="893"/>
      <c r="AP97" s="893"/>
      <c r="AQ97" s="893" t="s">
        <v>19</v>
      </c>
      <c r="AR97" s="893"/>
      <c r="AS97" s="893"/>
      <c r="AT97" s="893"/>
      <c r="AU97" s="893"/>
      <c r="AV97" s="893"/>
      <c r="AW97" s="893"/>
      <c r="AX97" s="893"/>
      <c r="AY97" s="893"/>
      <c r="AZ97" s="893" t="s">
        <v>65</v>
      </c>
      <c r="BA97" s="893"/>
      <c r="BB97" s="893"/>
      <c r="BC97" s="893"/>
      <c r="BD97" s="893"/>
      <c r="BE97" s="893"/>
      <c r="BF97" s="893"/>
      <c r="BG97" s="893"/>
      <c r="BH97" s="893"/>
      <c r="BI97" s="76"/>
      <c r="BJ97" s="893" t="s">
        <v>20</v>
      </c>
      <c r="BK97" s="893"/>
      <c r="BL97" s="893"/>
      <c r="BM97" s="893"/>
      <c r="BN97" s="893"/>
      <c r="BO97" s="893"/>
      <c r="BP97" s="893"/>
      <c r="BQ97" s="893"/>
      <c r="BR97" s="893"/>
      <c r="BS97" s="893"/>
      <c r="BT97" s="893"/>
      <c r="BU97" s="893"/>
      <c r="BV97" s="893"/>
      <c r="BW97" s="893"/>
      <c r="BX97" s="893"/>
      <c r="BY97" s="893"/>
      <c r="BZ97" s="893"/>
      <c r="CA97" s="893"/>
      <c r="CB97" s="70"/>
      <c r="CC97" s="893" t="s">
        <v>14</v>
      </c>
      <c r="CD97" s="893"/>
      <c r="CE97" s="893"/>
      <c r="CF97" s="893"/>
      <c r="CG97" s="893"/>
      <c r="CH97" s="893"/>
      <c r="CI97" s="893"/>
      <c r="CJ97" s="893"/>
      <c r="CK97" s="893"/>
      <c r="CL97" s="1"/>
      <c r="CM97" s="72"/>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941"/>
      <c r="ES97" s="941"/>
      <c r="ET97" s="941"/>
      <c r="EU97" s="941"/>
      <c r="EV97" s="941"/>
      <c r="EW97" s="941"/>
      <c r="EX97" s="941"/>
      <c r="EY97" s="941"/>
      <c r="EZ97" s="941"/>
      <c r="FA97" s="941"/>
      <c r="FB97" s="75"/>
      <c r="FC97" s="75"/>
      <c r="FD97" s="75"/>
      <c r="FE97" s="75"/>
      <c r="FF97" s="75"/>
      <c r="FG97" s="75"/>
      <c r="FH97" s="75"/>
      <c r="FI97" s="75"/>
      <c r="FJ97" s="75"/>
      <c r="FK97" s="75"/>
      <c r="FL97" s="941"/>
      <c r="FM97" s="941"/>
      <c r="FN97" s="76"/>
      <c r="FO97" s="76"/>
      <c r="FP97" s="76"/>
      <c r="FQ97" s="76"/>
      <c r="FR97" s="76"/>
      <c r="FS97" s="76"/>
      <c r="FT97" s="76"/>
      <c r="FU97" s="76"/>
      <c r="FV97" s="76"/>
      <c r="FW97" s="941"/>
      <c r="FX97" s="941"/>
      <c r="FY97" s="76"/>
      <c r="FZ97" s="76"/>
      <c r="GA97" s="76"/>
      <c r="GB97" s="76"/>
      <c r="GC97" s="76"/>
      <c r="GD97" s="76"/>
      <c r="GE97" s="76"/>
      <c r="GF97" s="76"/>
      <c r="GG97" s="941"/>
      <c r="GH97" s="941"/>
      <c r="GI97" s="66"/>
    </row>
    <row r="98" spans="1:191" s="68" customFormat="1" ht="7.5" customHeight="1" thickBot="1" x14ac:dyDescent="0.25">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70"/>
      <c r="CC98" s="1"/>
      <c r="CD98" s="1"/>
      <c r="CE98" s="1"/>
      <c r="CF98" s="1"/>
      <c r="CG98" s="1"/>
      <c r="CH98" s="1"/>
      <c r="CI98" s="1"/>
      <c r="CJ98" s="1"/>
      <c r="CK98" s="1"/>
      <c r="CL98" s="1"/>
      <c r="CM98" s="72"/>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row>
    <row r="99" spans="1:191" s="68" customFormat="1" ht="20.100000000000001" customHeight="1" x14ac:dyDescent="0.2">
      <c r="B99" s="893" t="s">
        <v>29</v>
      </c>
      <c r="C99" s="893"/>
      <c r="D99" s="893"/>
      <c r="E99" s="893"/>
      <c r="F99" s="893"/>
      <c r="G99" s="893"/>
      <c r="H99" s="893"/>
      <c r="I99" s="975" t="s">
        <v>23</v>
      </c>
      <c r="J99" s="975"/>
      <c r="K99" s="975"/>
      <c r="L99" s="975"/>
      <c r="M99" s="975"/>
      <c r="N99" s="81"/>
      <c r="O99" s="892">
        <f>TUTORIAL!V139</f>
        <v>15</v>
      </c>
      <c r="P99" s="892"/>
      <c r="Q99" s="892"/>
      <c r="R99" s="892"/>
      <c r="S99" s="892"/>
      <c r="T99" s="892"/>
      <c r="U99" s="892"/>
      <c r="V99" s="892"/>
      <c r="W99" s="892"/>
      <c r="X99" s="892">
        <f>TUTORIAL!V139</f>
        <v>15</v>
      </c>
      <c r="Y99" s="892"/>
      <c r="Z99" s="892"/>
      <c r="AA99" s="892"/>
      <c r="AB99" s="892"/>
      <c r="AC99" s="892"/>
      <c r="AD99" s="892"/>
      <c r="AE99" s="892"/>
      <c r="AF99" s="892"/>
      <c r="AG99" s="110"/>
      <c r="AH99" s="892">
        <f>TUTORIAL!V137</f>
        <v>15</v>
      </c>
      <c r="AI99" s="892"/>
      <c r="AJ99" s="892"/>
      <c r="AK99" s="892"/>
      <c r="AL99" s="892"/>
      <c r="AM99" s="892"/>
      <c r="AN99" s="892"/>
      <c r="AO99" s="892"/>
      <c r="AP99" s="892"/>
      <c r="AQ99" s="892">
        <f>TUTORIAL!V137</f>
        <v>15</v>
      </c>
      <c r="AR99" s="892"/>
      <c r="AS99" s="892"/>
      <c r="AT99" s="892"/>
      <c r="AU99" s="892"/>
      <c r="AV99" s="892"/>
      <c r="AW99" s="892"/>
      <c r="AX99" s="892"/>
      <c r="AY99" s="892"/>
      <c r="AZ99" s="892">
        <f>TUTORIAL!V138</f>
        <v>20</v>
      </c>
      <c r="BA99" s="892"/>
      <c r="BB99" s="892"/>
      <c r="BC99" s="892"/>
      <c r="BD99" s="892"/>
      <c r="BE99" s="892"/>
      <c r="BF99" s="892"/>
      <c r="BG99" s="892"/>
      <c r="BH99" s="892"/>
      <c r="BI99" s="111"/>
      <c r="BJ99" s="892">
        <f>TUTORIAL!V141</f>
        <v>40</v>
      </c>
      <c r="BK99" s="892"/>
      <c r="BL99" s="892"/>
      <c r="BM99" s="892"/>
      <c r="BN99" s="892"/>
      <c r="BO99" s="892"/>
      <c r="BP99" s="892"/>
      <c r="BQ99" s="892"/>
      <c r="BR99" s="892"/>
      <c r="BS99" s="892">
        <f>TUTORIAL!V142</f>
        <v>60</v>
      </c>
      <c r="BT99" s="892"/>
      <c r="BU99" s="892"/>
      <c r="BV99" s="892"/>
      <c r="BW99" s="892"/>
      <c r="BX99" s="892"/>
      <c r="BY99" s="892"/>
      <c r="BZ99" s="892"/>
      <c r="CA99" s="892"/>
      <c r="CB99" s="70"/>
      <c r="CC99" s="892">
        <f>TUTORIAL!V140</f>
        <v>15</v>
      </c>
      <c r="CD99" s="892"/>
      <c r="CE99" s="892"/>
      <c r="CF99" s="892"/>
      <c r="CG99" s="892"/>
      <c r="CH99" s="892"/>
      <c r="CI99" s="892"/>
      <c r="CJ99" s="892"/>
      <c r="CK99" s="892"/>
      <c r="CL99" s="1"/>
      <c r="CM99" s="72"/>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70"/>
      <c r="ES99" s="70"/>
      <c r="ET99" s="70"/>
      <c r="EU99" s="70"/>
      <c r="EV99" s="70"/>
      <c r="EW99" s="70"/>
      <c r="EX99" s="70"/>
      <c r="EY99" s="70"/>
      <c r="EZ99" s="70"/>
      <c r="FA99" s="70"/>
      <c r="FB99" s="69"/>
      <c r="FC99" s="69"/>
      <c r="FD99" s="69"/>
      <c r="FE99" s="69"/>
      <c r="FF99" s="69"/>
      <c r="FG99" s="69"/>
      <c r="FH99" s="69"/>
      <c r="FI99" s="69"/>
      <c r="FJ99" s="69"/>
      <c r="FK99" s="69"/>
      <c r="FL99" s="69"/>
      <c r="FM99" s="69"/>
      <c r="FN99" s="69"/>
      <c r="FO99" s="69"/>
      <c r="FP99" s="69"/>
      <c r="FQ99" s="69"/>
      <c r="FR99" s="69"/>
      <c r="FS99" s="69"/>
      <c r="FT99" s="69"/>
      <c r="FU99" s="69"/>
      <c r="FV99" s="69"/>
      <c r="FW99" s="69"/>
      <c r="FX99" s="69"/>
      <c r="FY99" s="69"/>
      <c r="FZ99" s="69"/>
      <c r="GA99" s="69"/>
      <c r="GB99" s="69"/>
      <c r="GC99" s="69"/>
      <c r="GD99" s="69"/>
      <c r="GE99" s="69"/>
      <c r="GF99" s="69"/>
      <c r="GG99" s="69"/>
      <c r="GH99" s="69"/>
    </row>
    <row r="100" spans="1:191" s="68" customFormat="1" ht="20.100000000000001" customHeight="1" x14ac:dyDescent="0.2">
      <c r="B100" s="893"/>
      <c r="C100" s="893"/>
      <c r="D100" s="893"/>
      <c r="E100" s="893"/>
      <c r="F100" s="893"/>
      <c r="G100" s="893"/>
      <c r="H100" s="893"/>
      <c r="I100" s="975" t="s">
        <v>24</v>
      </c>
      <c r="J100" s="975"/>
      <c r="K100" s="975"/>
      <c r="L100" s="975"/>
      <c r="M100" s="975"/>
      <c r="N100" s="81"/>
      <c r="O100" s="942">
        <f>O99/60</f>
        <v>0.25</v>
      </c>
      <c r="P100" s="942"/>
      <c r="Q100" s="942"/>
      <c r="R100" s="942"/>
      <c r="S100" s="942"/>
      <c r="T100" s="942"/>
      <c r="U100" s="942"/>
      <c r="V100" s="942"/>
      <c r="W100" s="942"/>
      <c r="X100" s="942">
        <f>X99/60</f>
        <v>0.25</v>
      </c>
      <c r="Y100" s="942"/>
      <c r="Z100" s="942"/>
      <c r="AA100" s="942"/>
      <c r="AB100" s="942"/>
      <c r="AC100" s="942"/>
      <c r="AD100" s="942"/>
      <c r="AE100" s="942"/>
      <c r="AF100" s="942"/>
      <c r="AG100" s="112"/>
      <c r="AH100" s="942">
        <f>AH99/60</f>
        <v>0.25</v>
      </c>
      <c r="AI100" s="942"/>
      <c r="AJ100" s="942"/>
      <c r="AK100" s="942"/>
      <c r="AL100" s="942"/>
      <c r="AM100" s="942"/>
      <c r="AN100" s="942"/>
      <c r="AO100" s="942"/>
      <c r="AP100" s="942"/>
      <c r="AQ100" s="942">
        <f>AQ99/60</f>
        <v>0.25</v>
      </c>
      <c r="AR100" s="942"/>
      <c r="AS100" s="942"/>
      <c r="AT100" s="942"/>
      <c r="AU100" s="942"/>
      <c r="AV100" s="942"/>
      <c r="AW100" s="942"/>
      <c r="AX100" s="942"/>
      <c r="AY100" s="942"/>
      <c r="AZ100" s="942">
        <f>AZ99/60</f>
        <v>0.33333333333333331</v>
      </c>
      <c r="BA100" s="942"/>
      <c r="BB100" s="942"/>
      <c r="BC100" s="942"/>
      <c r="BD100" s="942"/>
      <c r="BE100" s="942"/>
      <c r="BF100" s="942"/>
      <c r="BG100" s="942"/>
      <c r="BH100" s="942"/>
      <c r="BI100" s="113"/>
      <c r="BJ100" s="942">
        <f>BJ99/60</f>
        <v>0.66666666666666663</v>
      </c>
      <c r="BK100" s="942"/>
      <c r="BL100" s="942"/>
      <c r="BM100" s="942"/>
      <c r="BN100" s="942"/>
      <c r="BO100" s="942"/>
      <c r="BP100" s="942"/>
      <c r="BQ100" s="942"/>
      <c r="BR100" s="942"/>
      <c r="BS100" s="942">
        <f>BS99/60</f>
        <v>1</v>
      </c>
      <c r="BT100" s="942"/>
      <c r="BU100" s="942"/>
      <c r="BV100" s="942"/>
      <c r="BW100" s="942"/>
      <c r="BX100" s="942"/>
      <c r="BY100" s="942"/>
      <c r="BZ100" s="942"/>
      <c r="CA100" s="942"/>
      <c r="CB100" s="113"/>
      <c r="CC100" s="942">
        <f>CC99/60</f>
        <v>0.25</v>
      </c>
      <c r="CD100" s="942"/>
      <c r="CE100" s="942"/>
      <c r="CF100" s="942"/>
      <c r="CG100" s="942"/>
      <c r="CH100" s="942"/>
      <c r="CI100" s="942"/>
      <c r="CJ100" s="942"/>
      <c r="CK100" s="942"/>
      <c r="CL100" s="1"/>
      <c r="CM100" s="72"/>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70"/>
      <c r="ES100" s="70"/>
      <c r="ET100" s="70"/>
      <c r="EU100" s="70"/>
      <c r="EV100" s="70"/>
      <c r="EW100" s="70"/>
      <c r="EX100" s="70"/>
      <c r="EY100" s="70"/>
      <c r="EZ100" s="70"/>
      <c r="FA100" s="70"/>
      <c r="FB100" s="69"/>
      <c r="FC100" s="69"/>
      <c r="FD100" s="69"/>
      <c r="FE100" s="69"/>
      <c r="FF100" s="69"/>
      <c r="FG100" s="69"/>
      <c r="FH100" s="69"/>
      <c r="FI100" s="69"/>
      <c r="FJ100" s="69"/>
      <c r="FK100" s="69"/>
      <c r="FL100" s="69"/>
      <c r="FM100" s="69"/>
      <c r="FN100" s="69"/>
      <c r="FO100" s="69"/>
      <c r="FP100" s="69"/>
      <c r="FQ100" s="69"/>
      <c r="FR100" s="69"/>
      <c r="FS100" s="69"/>
      <c r="FT100" s="69"/>
      <c r="FU100" s="69"/>
      <c r="FV100" s="69"/>
      <c r="FW100" s="69"/>
      <c r="FX100" s="69"/>
      <c r="FY100" s="69"/>
      <c r="FZ100" s="69"/>
      <c r="GA100" s="69"/>
      <c r="GB100" s="69"/>
      <c r="GC100" s="69"/>
      <c r="GD100" s="69"/>
      <c r="GE100" s="69"/>
      <c r="GF100" s="69"/>
      <c r="GG100" s="69"/>
      <c r="GH100" s="69"/>
    </row>
    <row r="101" spans="1:191" s="68" customFormat="1" ht="7.5" customHeight="1" x14ac:dyDescent="0.2">
      <c r="I101" s="114"/>
      <c r="J101" s="114"/>
      <c r="K101" s="114"/>
      <c r="L101" s="114"/>
      <c r="M101" s="114"/>
      <c r="O101" s="47"/>
      <c r="P101" s="47"/>
      <c r="Q101" s="47"/>
      <c r="R101" s="47"/>
      <c r="S101" s="47"/>
      <c r="T101" s="47"/>
      <c r="U101" s="47"/>
      <c r="V101" s="47"/>
      <c r="W101" s="47"/>
      <c r="X101" s="47"/>
      <c r="Y101" s="47"/>
      <c r="Z101" s="47"/>
      <c r="AA101" s="47"/>
      <c r="AB101" s="47"/>
      <c r="AC101" s="47"/>
      <c r="AD101" s="47"/>
      <c r="AE101" s="47"/>
      <c r="AF101" s="47"/>
      <c r="AG101" s="70"/>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70"/>
      <c r="CC101" s="1"/>
      <c r="CD101" s="1"/>
      <c r="CE101" s="1"/>
      <c r="CF101" s="1"/>
      <c r="CG101" s="1"/>
      <c r="CH101" s="1"/>
      <c r="CI101" s="1"/>
      <c r="CJ101" s="1"/>
      <c r="CK101" s="1"/>
      <c r="CL101" s="1"/>
      <c r="CM101" s="72"/>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row>
    <row r="102" spans="1:191" s="68" customFormat="1" ht="20.100000000000001" customHeight="1" x14ac:dyDescent="0.2">
      <c r="B102" s="893" t="s">
        <v>28</v>
      </c>
      <c r="C102" s="893"/>
      <c r="D102" s="893"/>
      <c r="E102" s="893"/>
      <c r="F102" s="893"/>
      <c r="G102" s="893"/>
      <c r="H102" s="893"/>
      <c r="I102" s="975" t="s">
        <v>22</v>
      </c>
      <c r="J102" s="975"/>
      <c r="K102" s="975"/>
      <c r="L102" s="975"/>
      <c r="M102" s="975"/>
      <c r="N102" s="81"/>
      <c r="O102" s="892">
        <f>O92*O100</f>
        <v>256.01053124999999</v>
      </c>
      <c r="P102" s="892"/>
      <c r="Q102" s="892"/>
      <c r="R102" s="892"/>
      <c r="S102" s="892"/>
      <c r="T102" s="892"/>
      <c r="U102" s="892"/>
      <c r="V102" s="892"/>
      <c r="W102" s="892"/>
      <c r="X102" s="892">
        <f>X92*X100</f>
        <v>463.67345124999997</v>
      </c>
      <c r="Y102" s="892"/>
      <c r="Z102" s="892"/>
      <c r="AA102" s="892"/>
      <c r="AB102" s="892"/>
      <c r="AC102" s="892"/>
      <c r="AD102" s="892"/>
      <c r="AE102" s="892"/>
      <c r="AF102" s="892"/>
      <c r="AG102" s="70"/>
      <c r="AH102" s="892">
        <f>AH92*AH100</f>
        <v>310.777084</v>
      </c>
      <c r="AI102" s="892"/>
      <c r="AJ102" s="892"/>
      <c r="AK102" s="892"/>
      <c r="AL102" s="892"/>
      <c r="AM102" s="892"/>
      <c r="AN102" s="892"/>
      <c r="AO102" s="892"/>
      <c r="AP102" s="892"/>
      <c r="AQ102" s="892">
        <f>AQ92*AQ100</f>
        <v>423.18163124999995</v>
      </c>
      <c r="AR102" s="892"/>
      <c r="AS102" s="892"/>
      <c r="AT102" s="892"/>
      <c r="AU102" s="892"/>
      <c r="AV102" s="892"/>
      <c r="AW102" s="892"/>
      <c r="AX102" s="892"/>
      <c r="AY102" s="892"/>
      <c r="AZ102" s="892">
        <f>AZ92*AZ100</f>
        <v>83.607200000000006</v>
      </c>
      <c r="BA102" s="892"/>
      <c r="BB102" s="892"/>
      <c r="BC102" s="892"/>
      <c r="BD102" s="892"/>
      <c r="BE102" s="892"/>
      <c r="BF102" s="892"/>
      <c r="BG102" s="892"/>
      <c r="BH102" s="892"/>
      <c r="BI102" s="70"/>
      <c r="BJ102" s="892">
        <f>BJ92*BJ100</f>
        <v>2866.6666666666665</v>
      </c>
      <c r="BK102" s="892"/>
      <c r="BL102" s="892"/>
      <c r="BM102" s="892"/>
      <c r="BN102" s="892"/>
      <c r="BO102" s="892"/>
      <c r="BP102" s="892"/>
      <c r="BQ102" s="892"/>
      <c r="BR102" s="892"/>
      <c r="BS102" s="892">
        <f>BS92*BS100</f>
        <v>634.1226999999999</v>
      </c>
      <c r="BT102" s="892"/>
      <c r="BU102" s="892"/>
      <c r="BV102" s="892"/>
      <c r="BW102" s="892"/>
      <c r="BX102" s="892"/>
      <c r="BY102" s="892"/>
      <c r="BZ102" s="892"/>
      <c r="CA102" s="892"/>
      <c r="CB102" s="70"/>
      <c r="CC102" s="892">
        <f>CC92*CC100</f>
        <v>264.80376875000002</v>
      </c>
      <c r="CD102" s="892"/>
      <c r="CE102" s="892"/>
      <c r="CF102" s="892"/>
      <c r="CG102" s="892"/>
      <c r="CH102" s="892"/>
      <c r="CI102" s="892"/>
      <c r="CJ102" s="892"/>
      <c r="CK102" s="892"/>
      <c r="CL102" s="1"/>
      <c r="CM102" s="72"/>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70"/>
      <c r="ES102" s="70"/>
      <c r="ET102" s="70"/>
      <c r="EU102" s="70"/>
      <c r="EV102" s="70"/>
      <c r="EW102" s="70"/>
      <c r="EX102" s="70"/>
      <c r="EY102" s="70"/>
      <c r="EZ102" s="70"/>
      <c r="FA102" s="70"/>
      <c r="FB102" s="69"/>
      <c r="FC102" s="69"/>
      <c r="FD102" s="69"/>
      <c r="FE102" s="69"/>
      <c r="FF102" s="69"/>
      <c r="FG102" s="69"/>
      <c r="FH102" s="69"/>
      <c r="FI102" s="69"/>
      <c r="FJ102" s="69"/>
      <c r="FK102" s="69"/>
      <c r="FL102" s="69"/>
      <c r="FM102" s="69"/>
      <c r="FN102" s="69"/>
      <c r="FO102" s="69"/>
      <c r="FP102" s="69"/>
      <c r="FQ102" s="69"/>
      <c r="FR102" s="69"/>
      <c r="FS102" s="69"/>
      <c r="FT102" s="69"/>
      <c r="FU102" s="69"/>
      <c r="FV102" s="69"/>
      <c r="FW102" s="69"/>
      <c r="FX102" s="69"/>
      <c r="FY102" s="69"/>
      <c r="FZ102" s="69"/>
      <c r="GA102" s="69"/>
      <c r="GB102" s="69"/>
      <c r="GC102" s="69"/>
      <c r="GD102" s="69"/>
      <c r="GE102" s="69"/>
      <c r="GF102" s="69"/>
      <c r="GG102" s="69"/>
      <c r="GH102" s="69"/>
    </row>
    <row r="103" spans="1:191" s="68" customFormat="1" ht="20.100000000000001" customHeight="1" x14ac:dyDescent="0.2">
      <c r="B103" s="893"/>
      <c r="C103" s="893"/>
      <c r="D103" s="893"/>
      <c r="E103" s="893"/>
      <c r="F103" s="893"/>
      <c r="G103" s="893"/>
      <c r="H103" s="893"/>
      <c r="I103" s="975" t="s">
        <v>430</v>
      </c>
      <c r="J103" s="975"/>
      <c r="K103" s="975"/>
      <c r="L103" s="975"/>
      <c r="M103" s="975"/>
      <c r="N103" s="81"/>
      <c r="O103" s="892">
        <f>O102/11</f>
        <v>23.273684659090907</v>
      </c>
      <c r="P103" s="892"/>
      <c r="Q103" s="892"/>
      <c r="R103" s="892"/>
      <c r="S103" s="892"/>
      <c r="T103" s="892"/>
      <c r="U103" s="892"/>
      <c r="V103" s="892"/>
      <c r="W103" s="892"/>
      <c r="X103" s="892">
        <f>X102/11</f>
        <v>42.152131931818182</v>
      </c>
      <c r="Y103" s="892"/>
      <c r="Z103" s="892"/>
      <c r="AA103" s="892"/>
      <c r="AB103" s="892"/>
      <c r="AC103" s="892"/>
      <c r="AD103" s="892"/>
      <c r="AE103" s="892"/>
      <c r="AF103" s="892"/>
      <c r="AG103" s="70"/>
      <c r="AH103" s="892">
        <f>AH102/11</f>
        <v>28.252462181818181</v>
      </c>
      <c r="AI103" s="892"/>
      <c r="AJ103" s="892"/>
      <c r="AK103" s="892"/>
      <c r="AL103" s="892"/>
      <c r="AM103" s="892"/>
      <c r="AN103" s="892"/>
      <c r="AO103" s="892"/>
      <c r="AP103" s="892"/>
      <c r="AQ103" s="892">
        <f>AQ102/11</f>
        <v>38.471057386363633</v>
      </c>
      <c r="AR103" s="892"/>
      <c r="AS103" s="892"/>
      <c r="AT103" s="892"/>
      <c r="AU103" s="892"/>
      <c r="AV103" s="892"/>
      <c r="AW103" s="892"/>
      <c r="AX103" s="892"/>
      <c r="AY103" s="892"/>
      <c r="AZ103" s="892">
        <f>AZ102/11</f>
        <v>7.600654545454546</v>
      </c>
      <c r="BA103" s="892"/>
      <c r="BB103" s="892"/>
      <c r="BC103" s="892"/>
      <c r="BD103" s="892"/>
      <c r="BE103" s="892"/>
      <c r="BF103" s="892"/>
      <c r="BG103" s="892"/>
      <c r="BH103" s="892"/>
      <c r="BI103" s="70"/>
      <c r="BJ103" s="892">
        <f>BJ102/11</f>
        <v>260.60606060606057</v>
      </c>
      <c r="BK103" s="892"/>
      <c r="BL103" s="892"/>
      <c r="BM103" s="892"/>
      <c r="BN103" s="892"/>
      <c r="BO103" s="892"/>
      <c r="BP103" s="892"/>
      <c r="BQ103" s="892"/>
      <c r="BR103" s="892"/>
      <c r="BS103" s="892">
        <f>BS102/11</f>
        <v>57.647518181818171</v>
      </c>
      <c r="BT103" s="892"/>
      <c r="BU103" s="892"/>
      <c r="BV103" s="892"/>
      <c r="BW103" s="892"/>
      <c r="BX103" s="892"/>
      <c r="BY103" s="892"/>
      <c r="BZ103" s="892"/>
      <c r="CA103" s="892"/>
      <c r="CB103" s="70"/>
      <c r="CC103" s="892">
        <f>CC102/11</f>
        <v>24.073069886363637</v>
      </c>
      <c r="CD103" s="892"/>
      <c r="CE103" s="892"/>
      <c r="CF103" s="892"/>
      <c r="CG103" s="892"/>
      <c r="CH103" s="892"/>
      <c r="CI103" s="892"/>
      <c r="CJ103" s="892"/>
      <c r="CK103" s="892"/>
      <c r="CL103" s="115"/>
      <c r="CM103" s="72"/>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70"/>
      <c r="ES103" s="70"/>
      <c r="ET103" s="70"/>
      <c r="EU103" s="70"/>
      <c r="EV103" s="70"/>
      <c r="EW103" s="70"/>
      <c r="EX103" s="70"/>
      <c r="EY103" s="70"/>
      <c r="EZ103" s="70"/>
      <c r="FA103" s="70"/>
      <c r="FB103" s="69"/>
      <c r="FC103" s="69"/>
      <c r="FD103" s="69"/>
      <c r="FE103" s="69"/>
      <c r="FF103" s="69"/>
      <c r="FG103" s="69"/>
      <c r="FH103" s="69"/>
      <c r="FI103" s="69"/>
      <c r="FJ103" s="69"/>
      <c r="FK103" s="69"/>
      <c r="FL103" s="69"/>
      <c r="FM103" s="69"/>
      <c r="FN103" s="69"/>
      <c r="FO103" s="69"/>
      <c r="FP103" s="69"/>
      <c r="FQ103" s="69"/>
      <c r="FR103" s="69"/>
      <c r="FS103" s="69"/>
      <c r="FT103" s="69"/>
      <c r="FU103" s="69"/>
      <c r="FV103" s="69"/>
      <c r="FW103" s="69"/>
      <c r="FX103" s="69"/>
      <c r="FY103" s="69"/>
      <c r="FZ103" s="69"/>
      <c r="GA103" s="69"/>
      <c r="GB103" s="69"/>
      <c r="GC103" s="69"/>
      <c r="GD103" s="69"/>
      <c r="GE103" s="69"/>
      <c r="GF103" s="69"/>
      <c r="GG103" s="69"/>
      <c r="GH103" s="69"/>
    </row>
    <row r="104" spans="1:191" s="68" customFormat="1" ht="20.100000000000001" customHeight="1" x14ac:dyDescent="0.2">
      <c r="B104" s="893"/>
      <c r="C104" s="893"/>
      <c r="D104" s="893"/>
      <c r="E104" s="893"/>
      <c r="F104" s="893"/>
      <c r="G104" s="893"/>
      <c r="H104" s="893"/>
      <c r="I104" s="975" t="s">
        <v>21</v>
      </c>
      <c r="J104" s="975"/>
      <c r="K104" s="975"/>
      <c r="L104" s="975"/>
      <c r="M104" s="975"/>
      <c r="N104" s="81"/>
      <c r="O104" s="892">
        <f>O103/4</f>
        <v>5.8184211647727269</v>
      </c>
      <c r="P104" s="892"/>
      <c r="Q104" s="892"/>
      <c r="R104" s="892"/>
      <c r="S104" s="892"/>
      <c r="T104" s="892"/>
      <c r="U104" s="892"/>
      <c r="V104" s="892"/>
      <c r="W104" s="892"/>
      <c r="X104" s="892">
        <f>X103/4</f>
        <v>10.538032982954546</v>
      </c>
      <c r="Y104" s="892"/>
      <c r="Z104" s="892"/>
      <c r="AA104" s="892"/>
      <c r="AB104" s="892"/>
      <c r="AC104" s="892"/>
      <c r="AD104" s="892"/>
      <c r="AE104" s="892"/>
      <c r="AF104" s="892"/>
      <c r="AG104" s="70"/>
      <c r="AH104" s="934">
        <f>AH103/4</f>
        <v>7.0631155454545453</v>
      </c>
      <c r="AI104" s="934"/>
      <c r="AJ104" s="934"/>
      <c r="AK104" s="934"/>
      <c r="AL104" s="934"/>
      <c r="AM104" s="934"/>
      <c r="AN104" s="934"/>
      <c r="AO104" s="934"/>
      <c r="AP104" s="934"/>
      <c r="AQ104" s="934">
        <f>AQ103/4</f>
        <v>9.6177643465909082</v>
      </c>
      <c r="AR104" s="934"/>
      <c r="AS104" s="934"/>
      <c r="AT104" s="934"/>
      <c r="AU104" s="934"/>
      <c r="AV104" s="934"/>
      <c r="AW104" s="934"/>
      <c r="AX104" s="934"/>
      <c r="AY104" s="934"/>
      <c r="AZ104" s="934">
        <f>AZ103/4</f>
        <v>1.9001636363636365</v>
      </c>
      <c r="BA104" s="934"/>
      <c r="BB104" s="934"/>
      <c r="BC104" s="934"/>
      <c r="BD104" s="934"/>
      <c r="BE104" s="934"/>
      <c r="BF104" s="934"/>
      <c r="BG104" s="934"/>
      <c r="BH104" s="934"/>
      <c r="BI104" s="116"/>
      <c r="BJ104" s="934">
        <f>BJ103/4</f>
        <v>65.151515151515142</v>
      </c>
      <c r="BK104" s="934"/>
      <c r="BL104" s="934"/>
      <c r="BM104" s="934"/>
      <c r="BN104" s="934"/>
      <c r="BO104" s="934"/>
      <c r="BP104" s="934"/>
      <c r="BQ104" s="934"/>
      <c r="BR104" s="934"/>
      <c r="BS104" s="934">
        <f>BS103/4</f>
        <v>14.411879545454543</v>
      </c>
      <c r="BT104" s="934"/>
      <c r="BU104" s="934"/>
      <c r="BV104" s="934"/>
      <c r="BW104" s="934"/>
      <c r="BX104" s="934"/>
      <c r="BY104" s="934"/>
      <c r="BZ104" s="934"/>
      <c r="CA104" s="934"/>
      <c r="CB104" s="70"/>
      <c r="CC104" s="892">
        <f>CC103/4</f>
        <v>6.0182674715909092</v>
      </c>
      <c r="CD104" s="892"/>
      <c r="CE104" s="892"/>
      <c r="CF104" s="892"/>
      <c r="CG104" s="892"/>
      <c r="CH104" s="892"/>
      <c r="CI104" s="892"/>
      <c r="CJ104" s="892"/>
      <c r="CK104" s="892"/>
      <c r="CL104" s="115"/>
      <c r="CM104" s="72"/>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70"/>
      <c r="ES104" s="70"/>
      <c r="ET104" s="70"/>
      <c r="EU104" s="70"/>
      <c r="EV104" s="70"/>
      <c r="EW104" s="70"/>
      <c r="EX104" s="70"/>
      <c r="EY104" s="70"/>
      <c r="EZ104" s="70"/>
      <c r="FA104" s="70"/>
      <c r="FB104" s="69"/>
      <c r="FC104" s="69"/>
      <c r="FD104" s="69"/>
      <c r="FE104" s="69"/>
      <c r="FF104" s="69"/>
      <c r="FG104" s="69"/>
      <c r="FH104" s="69"/>
      <c r="FI104" s="69"/>
      <c r="FJ104" s="69"/>
      <c r="FK104" s="69"/>
      <c r="FL104" s="69"/>
      <c r="FM104" s="69"/>
      <c r="FN104" s="69"/>
      <c r="FO104" s="69"/>
      <c r="FP104" s="69"/>
      <c r="FQ104" s="69"/>
      <c r="FR104" s="69"/>
      <c r="FS104" s="69"/>
      <c r="FT104" s="69"/>
      <c r="FU104" s="69"/>
      <c r="FV104" s="69"/>
      <c r="FW104" s="69"/>
      <c r="FX104" s="69"/>
      <c r="FY104" s="69"/>
      <c r="FZ104" s="69"/>
      <c r="GA104" s="69"/>
      <c r="GB104" s="69"/>
      <c r="GC104" s="69"/>
      <c r="GD104" s="69"/>
      <c r="GE104" s="69"/>
      <c r="GF104" s="69"/>
      <c r="GG104" s="69"/>
      <c r="GH104" s="69"/>
    </row>
    <row r="105" spans="1:191" s="68" customFormat="1" ht="20.100000000000001" customHeight="1" x14ac:dyDescent="0.2">
      <c r="B105" s="893"/>
      <c r="C105" s="893"/>
      <c r="D105" s="893"/>
      <c r="E105" s="893"/>
      <c r="F105" s="893"/>
      <c r="G105" s="893"/>
      <c r="H105" s="893"/>
      <c r="I105" s="975"/>
      <c r="J105" s="975"/>
      <c r="K105" s="975"/>
      <c r="L105" s="975"/>
      <c r="M105" s="975"/>
      <c r="N105" s="81"/>
      <c r="O105" s="929">
        <f>SUM(O104:AF104)</f>
        <v>16.356454147727273</v>
      </c>
      <c r="P105" s="929"/>
      <c r="Q105" s="929"/>
      <c r="R105" s="929"/>
      <c r="S105" s="929"/>
      <c r="T105" s="929"/>
      <c r="U105" s="929"/>
      <c r="V105" s="929"/>
      <c r="W105" s="929"/>
      <c r="X105" s="929"/>
      <c r="Y105" s="929"/>
      <c r="Z105" s="929"/>
      <c r="AA105" s="929"/>
      <c r="AB105" s="929"/>
      <c r="AC105" s="929"/>
      <c r="AD105" s="929"/>
      <c r="AE105" s="929"/>
      <c r="AF105" s="929"/>
      <c r="AG105" s="117"/>
      <c r="AH105" s="968">
        <f>AH104+AQ104+AZ104</f>
        <v>18.58104352840909</v>
      </c>
      <c r="AI105" s="969"/>
      <c r="AJ105" s="969"/>
      <c r="AK105" s="969"/>
      <c r="AL105" s="969"/>
      <c r="AM105" s="969"/>
      <c r="AN105" s="969"/>
      <c r="AO105" s="969"/>
      <c r="AP105" s="969"/>
      <c r="AQ105" s="969"/>
      <c r="AR105" s="969"/>
      <c r="AS105" s="969"/>
      <c r="AT105" s="969"/>
      <c r="AU105" s="969"/>
      <c r="AV105" s="969"/>
      <c r="AW105" s="969"/>
      <c r="AX105" s="969"/>
      <c r="AY105" s="969"/>
      <c r="AZ105" s="969"/>
      <c r="BA105" s="969"/>
      <c r="BB105" s="969"/>
      <c r="BC105" s="969"/>
      <c r="BD105" s="969"/>
      <c r="BE105" s="969"/>
      <c r="BF105" s="969"/>
      <c r="BG105" s="969"/>
      <c r="BH105" s="970"/>
      <c r="BI105" s="118"/>
      <c r="BJ105" s="929">
        <f>BJ104</f>
        <v>65.151515151515142</v>
      </c>
      <c r="BK105" s="929"/>
      <c r="BL105" s="929"/>
      <c r="BM105" s="929"/>
      <c r="BN105" s="929"/>
      <c r="BO105" s="929"/>
      <c r="BP105" s="929"/>
      <c r="BQ105" s="929"/>
      <c r="BR105" s="929"/>
      <c r="BS105" s="968">
        <f>BS104</f>
        <v>14.411879545454543</v>
      </c>
      <c r="BT105" s="969"/>
      <c r="BU105" s="969"/>
      <c r="BV105" s="969"/>
      <c r="BW105" s="969"/>
      <c r="BX105" s="969"/>
      <c r="BY105" s="969"/>
      <c r="BZ105" s="969"/>
      <c r="CA105" s="970"/>
      <c r="CB105" s="117"/>
      <c r="CC105" s="929">
        <f>SUM(CC104)</f>
        <v>6.0182674715909092</v>
      </c>
      <c r="CD105" s="929"/>
      <c r="CE105" s="929"/>
      <c r="CF105" s="929"/>
      <c r="CG105" s="929"/>
      <c r="CH105" s="929"/>
      <c r="CI105" s="929"/>
      <c r="CJ105" s="929"/>
      <c r="CK105" s="929"/>
      <c r="CL105" s="1"/>
      <c r="CM105" s="72"/>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70"/>
      <c r="ES105" s="70"/>
      <c r="ET105" s="70"/>
      <c r="EU105" s="70"/>
      <c r="EV105" s="70"/>
      <c r="EW105" s="70"/>
      <c r="EX105" s="70"/>
      <c r="EY105" s="70"/>
      <c r="EZ105" s="70"/>
      <c r="FA105" s="70"/>
      <c r="FB105" s="69"/>
      <c r="FC105" s="69"/>
      <c r="FD105" s="69"/>
      <c r="FE105" s="69"/>
      <c r="FF105" s="69"/>
      <c r="FG105" s="69"/>
      <c r="FH105" s="69"/>
      <c r="FI105" s="69"/>
      <c r="FJ105" s="69"/>
      <c r="FK105" s="69"/>
      <c r="FL105" s="69"/>
      <c r="FM105" s="69"/>
      <c r="FN105" s="69"/>
      <c r="FO105" s="69"/>
      <c r="FP105" s="69"/>
      <c r="FQ105" s="69"/>
      <c r="FR105" s="69"/>
      <c r="FS105" s="69"/>
      <c r="FT105" s="69"/>
      <c r="FU105" s="69"/>
      <c r="FV105" s="69"/>
      <c r="FW105" s="69"/>
      <c r="FX105" s="69"/>
      <c r="FY105" s="69"/>
      <c r="FZ105" s="69"/>
      <c r="GA105" s="69"/>
      <c r="GB105" s="69"/>
      <c r="GC105" s="69"/>
      <c r="GD105" s="69"/>
      <c r="GE105" s="69"/>
      <c r="GF105" s="69"/>
      <c r="GG105" s="69"/>
      <c r="GH105" s="69"/>
    </row>
    <row r="106" spans="1:191" ht="20.100000000000001" customHeight="1" x14ac:dyDescent="0.25">
      <c r="B106" s="63"/>
      <c r="C106" s="63"/>
      <c r="D106" s="63"/>
      <c r="E106" s="63"/>
      <c r="F106" s="63"/>
      <c r="G106" s="63"/>
      <c r="H106" s="63"/>
      <c r="I106" s="119" t="s">
        <v>431</v>
      </c>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6"/>
      <c r="AQ106" s="66"/>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4"/>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EA106" s="65"/>
      <c r="EB106" s="65"/>
      <c r="EC106" s="65"/>
      <c r="ED106" s="65"/>
      <c r="EE106" s="65"/>
      <c r="EF106" s="65"/>
    </row>
    <row r="107" spans="1:191" ht="7.5" customHeight="1" x14ac:dyDescent="0.25">
      <c r="B107" s="63"/>
      <c r="C107" s="63"/>
      <c r="D107" s="63"/>
      <c r="E107" s="63"/>
      <c r="F107" s="63"/>
      <c r="G107" s="63"/>
      <c r="H107" s="63"/>
      <c r="I107" s="63"/>
      <c r="J107" s="63"/>
      <c r="K107" s="63"/>
      <c r="L107" s="63"/>
      <c r="M107" s="63"/>
      <c r="N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6"/>
      <c r="AX107" s="66"/>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4"/>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H107" s="65"/>
      <c r="EI107" s="65"/>
      <c r="EJ107" s="65"/>
      <c r="EK107" s="65"/>
      <c r="EL107" s="65"/>
      <c r="EM107" s="65"/>
    </row>
    <row r="108" spans="1:191" s="131" customFormat="1" ht="20.100000000000001" customHeight="1" x14ac:dyDescent="0.25">
      <c r="B108" s="976" t="s">
        <v>11</v>
      </c>
      <c r="C108" s="976"/>
      <c r="D108" s="976"/>
      <c r="E108" s="976"/>
      <c r="F108" s="976"/>
      <c r="G108" s="976"/>
      <c r="H108" s="976"/>
      <c r="I108" s="976"/>
      <c r="J108" s="976"/>
      <c r="K108" s="976"/>
      <c r="L108" s="976"/>
      <c r="M108" s="976"/>
      <c r="N108" s="976"/>
      <c r="O108" s="976"/>
      <c r="P108" s="976"/>
      <c r="Q108" s="976"/>
      <c r="R108" s="976"/>
      <c r="S108" s="976"/>
      <c r="T108" s="976"/>
      <c r="U108" s="976"/>
      <c r="V108" s="976"/>
      <c r="W108" s="976"/>
      <c r="X108" s="976"/>
      <c r="Y108" s="976"/>
      <c r="Z108" s="976"/>
      <c r="AA108" s="976"/>
      <c r="AB108" s="976"/>
      <c r="AC108" s="976"/>
      <c r="AD108" s="976"/>
      <c r="AE108" s="976"/>
      <c r="AF108" s="976"/>
      <c r="AG108" s="976"/>
      <c r="AH108" s="976"/>
      <c r="AI108" s="976"/>
      <c r="AJ108" s="976"/>
      <c r="AK108" s="976"/>
      <c r="AL108" s="976"/>
      <c r="AM108" s="976"/>
      <c r="AN108" s="976"/>
      <c r="AO108" s="976"/>
      <c r="AP108" s="976"/>
      <c r="AQ108" s="976"/>
      <c r="AR108" s="976"/>
      <c r="AS108" s="976"/>
      <c r="AT108" s="976"/>
      <c r="AU108" s="976"/>
      <c r="AV108" s="976"/>
      <c r="AW108" s="976"/>
      <c r="AX108" s="976"/>
      <c r="AY108" s="976"/>
      <c r="AZ108" s="976"/>
      <c r="BA108" s="976"/>
      <c r="BB108" s="976"/>
      <c r="BC108" s="976"/>
      <c r="BD108" s="976"/>
      <c r="BE108" s="976"/>
      <c r="BF108" s="976"/>
      <c r="BG108" s="976"/>
      <c r="BH108" s="976"/>
      <c r="BI108" s="976"/>
      <c r="BJ108" s="976"/>
      <c r="BK108" s="976"/>
      <c r="BL108" s="976"/>
      <c r="BM108" s="976"/>
      <c r="BN108" s="976"/>
      <c r="BO108" s="976"/>
      <c r="BP108" s="976"/>
      <c r="BQ108" s="976"/>
      <c r="BR108" s="976"/>
      <c r="BS108" s="976"/>
      <c r="BT108" s="976"/>
      <c r="BU108" s="976"/>
      <c r="BV108" s="976"/>
      <c r="BW108" s="976"/>
      <c r="BX108" s="976"/>
      <c r="BY108" s="976"/>
      <c r="BZ108" s="976"/>
      <c r="CA108" s="976"/>
      <c r="CB108" s="976"/>
      <c r="CC108" s="976"/>
      <c r="CD108" s="976"/>
      <c r="CE108" s="976"/>
      <c r="CF108" s="976"/>
      <c r="CG108" s="976"/>
      <c r="CH108" s="976"/>
      <c r="CI108" s="976"/>
      <c r="CJ108" s="976"/>
      <c r="CK108" s="976"/>
      <c r="CL108" s="976"/>
      <c r="CM108" s="976"/>
      <c r="CN108" s="976"/>
      <c r="CO108" s="976"/>
      <c r="CP108" s="976"/>
      <c r="CQ108" s="976"/>
      <c r="CR108" s="976"/>
      <c r="CS108" s="976"/>
      <c r="CT108" s="976"/>
      <c r="CU108" s="976"/>
      <c r="CV108" s="132"/>
    </row>
    <row r="109" spans="1:191" ht="7.5" customHeight="1" x14ac:dyDescent="0.25">
      <c r="B109" s="63"/>
      <c r="C109" s="63"/>
      <c r="D109" s="63"/>
      <c r="E109" s="63"/>
      <c r="F109" s="63"/>
      <c r="G109" s="63"/>
      <c r="H109" s="63"/>
      <c r="I109" s="63"/>
      <c r="J109" s="63"/>
      <c r="K109" s="63"/>
      <c r="L109" s="63"/>
      <c r="M109" s="63"/>
      <c r="N109" s="63"/>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69"/>
      <c r="BW109" s="63"/>
      <c r="BX109" s="63"/>
      <c r="BY109" s="63"/>
      <c r="BZ109" s="63"/>
      <c r="CA109" s="70"/>
      <c r="CB109" s="63"/>
      <c r="CC109" s="63"/>
      <c r="CD109" s="63"/>
      <c r="CE109" s="63"/>
      <c r="CF109" s="63"/>
      <c r="CG109" s="63"/>
      <c r="CH109" s="63"/>
      <c r="CI109" s="63"/>
      <c r="CJ109" s="63"/>
      <c r="CK109" s="63"/>
      <c r="CL109" s="63"/>
      <c r="CM109" s="64"/>
      <c r="CN109" s="64"/>
      <c r="CO109" s="64"/>
      <c r="CP109" s="64"/>
      <c r="CQ109" s="64"/>
      <c r="CR109" s="64"/>
      <c r="CS109" s="64"/>
      <c r="CT109" s="64"/>
      <c r="CU109" s="64"/>
      <c r="CV109" s="67"/>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6"/>
      <c r="EI109" s="68"/>
      <c r="EJ109" s="68"/>
      <c r="EK109" s="68"/>
    </row>
    <row r="110" spans="1:191" ht="20.100000000000001" customHeight="1" x14ac:dyDescent="0.25">
      <c r="A110" s="69"/>
      <c r="B110" s="69"/>
      <c r="C110" s="69"/>
      <c r="D110" s="69"/>
      <c r="E110" s="69"/>
      <c r="F110" s="69"/>
      <c r="G110" s="69"/>
      <c r="H110" s="69"/>
      <c r="I110" s="69"/>
      <c r="J110" s="69"/>
      <c r="K110" s="69"/>
      <c r="L110" s="69"/>
      <c r="M110" s="69"/>
      <c r="N110" s="69"/>
      <c r="O110" s="968" t="s">
        <v>26</v>
      </c>
      <c r="P110" s="969"/>
      <c r="Q110" s="969"/>
      <c r="R110" s="969"/>
      <c r="S110" s="969"/>
      <c r="T110" s="969"/>
      <c r="U110" s="969"/>
      <c r="V110" s="969"/>
      <c r="W110" s="969"/>
      <c r="X110" s="969"/>
      <c r="Y110" s="969"/>
      <c r="Z110" s="969"/>
      <c r="AA110" s="969"/>
      <c r="AB110" s="969"/>
      <c r="AC110" s="969"/>
      <c r="AD110" s="969"/>
      <c r="AE110" s="969"/>
      <c r="AF110" s="969"/>
      <c r="AG110" s="969"/>
      <c r="AH110" s="969"/>
      <c r="AI110" s="969"/>
      <c r="AJ110" s="969"/>
      <c r="AK110" s="969"/>
      <c r="AL110" s="969"/>
      <c r="AM110" s="969"/>
      <c r="AN110" s="969"/>
      <c r="AO110" s="969"/>
      <c r="AP110" s="969"/>
      <c r="AQ110" s="970"/>
      <c r="AR110" s="69"/>
      <c r="AS110" s="69"/>
      <c r="AT110" s="977" t="s">
        <v>25</v>
      </c>
      <c r="AU110" s="978"/>
      <c r="AV110" s="978"/>
      <c r="AW110" s="978"/>
      <c r="AX110" s="978"/>
      <c r="AY110" s="978"/>
      <c r="AZ110" s="978"/>
      <c r="BA110" s="978"/>
      <c r="BB110" s="978"/>
      <c r="BC110" s="978"/>
      <c r="BD110" s="978"/>
      <c r="BE110" s="978"/>
      <c r="BF110" s="978"/>
      <c r="BG110" s="978"/>
      <c r="BH110" s="978"/>
      <c r="BI110" s="978"/>
      <c r="BJ110" s="978"/>
      <c r="BK110" s="978"/>
      <c r="BL110" s="978"/>
      <c r="BM110" s="978"/>
      <c r="BN110" s="978"/>
      <c r="BO110" s="978"/>
      <c r="BP110" s="978"/>
      <c r="BQ110" s="978"/>
      <c r="BR110" s="978"/>
      <c r="BS110" s="978"/>
      <c r="BT110" s="978"/>
      <c r="BU110" s="978"/>
      <c r="BV110" s="978"/>
      <c r="BW110" s="978"/>
      <c r="BX110" s="978"/>
      <c r="BY110" s="978"/>
      <c r="BZ110" s="978"/>
      <c r="CA110" s="978"/>
      <c r="CB110" s="978"/>
      <c r="CC110" s="978"/>
      <c r="CD110" s="979"/>
      <c r="CE110" s="66"/>
      <c r="CF110" s="66"/>
      <c r="CG110" s="949" t="s">
        <v>96</v>
      </c>
      <c r="CH110" s="950"/>
      <c r="CI110" s="950"/>
      <c r="CJ110" s="950"/>
      <c r="CK110" s="950"/>
      <c r="CL110" s="950"/>
      <c r="CM110" s="950"/>
      <c r="CN110" s="950"/>
      <c r="CO110" s="950"/>
      <c r="CP110" s="950"/>
      <c r="CQ110" s="950"/>
      <c r="CR110" s="950"/>
      <c r="CS110" s="950"/>
      <c r="CT110" s="950"/>
      <c r="CU110" s="951"/>
      <c r="CV110" s="67"/>
      <c r="CW110" s="68"/>
      <c r="CX110" s="68"/>
      <c r="CY110" s="68"/>
      <c r="CZ110" s="68"/>
      <c r="DA110" s="68"/>
      <c r="DB110" s="68"/>
      <c r="DC110" s="66"/>
      <c r="DE110" s="68"/>
      <c r="DF110" s="68"/>
      <c r="DG110" s="68"/>
    </row>
    <row r="111" spans="1:191" ht="7.5" customHeight="1"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69"/>
      <c r="CE111" s="69"/>
      <c r="CF111" s="66"/>
      <c r="CG111" s="952"/>
      <c r="CH111" s="953"/>
      <c r="CI111" s="953"/>
      <c r="CJ111" s="953"/>
      <c r="CK111" s="953"/>
      <c r="CL111" s="953"/>
      <c r="CM111" s="953"/>
      <c r="CN111" s="953"/>
      <c r="CO111" s="953"/>
      <c r="CP111" s="953"/>
      <c r="CQ111" s="953"/>
      <c r="CR111" s="953"/>
      <c r="CS111" s="953"/>
      <c r="CT111" s="953"/>
      <c r="CU111" s="954"/>
      <c r="CV111" s="120"/>
      <c r="CW111" s="66"/>
      <c r="CX111" s="66"/>
      <c r="CY111" s="66"/>
      <c r="CZ111" s="68"/>
      <c r="DA111" s="68"/>
      <c r="DB111" s="68"/>
      <c r="DC111" s="66"/>
      <c r="DE111" s="68"/>
      <c r="DF111" s="68"/>
      <c r="DG111" s="68"/>
    </row>
    <row r="112" spans="1:191" s="68" customFormat="1" ht="20.100000000000001" customHeight="1" x14ac:dyDescent="0.2">
      <c r="B112" s="980" t="s">
        <v>5</v>
      </c>
      <c r="C112" s="981"/>
      <c r="D112" s="981"/>
      <c r="E112" s="981"/>
      <c r="F112" s="981"/>
      <c r="G112" s="981"/>
      <c r="H112" s="981"/>
      <c r="I112" s="981"/>
      <c r="J112" s="981"/>
      <c r="K112" s="981"/>
      <c r="L112" s="981"/>
      <c r="M112" s="982"/>
      <c r="N112" s="69"/>
      <c r="O112" s="949" t="s">
        <v>432</v>
      </c>
      <c r="P112" s="950"/>
      <c r="Q112" s="950"/>
      <c r="R112" s="950"/>
      <c r="S112" s="950"/>
      <c r="T112" s="950"/>
      <c r="U112" s="950"/>
      <c r="V112" s="950"/>
      <c r="W112" s="951"/>
      <c r="X112" s="66"/>
      <c r="Y112" s="949" t="s">
        <v>477</v>
      </c>
      <c r="Z112" s="950"/>
      <c r="AA112" s="950"/>
      <c r="AB112" s="950"/>
      <c r="AC112" s="950"/>
      <c r="AD112" s="950"/>
      <c r="AE112" s="950"/>
      <c r="AF112" s="950"/>
      <c r="AG112" s="951"/>
      <c r="AH112" s="66"/>
      <c r="AI112" s="949" t="s">
        <v>433</v>
      </c>
      <c r="AJ112" s="950"/>
      <c r="AK112" s="950"/>
      <c r="AL112" s="950"/>
      <c r="AM112" s="950"/>
      <c r="AN112" s="950"/>
      <c r="AO112" s="950"/>
      <c r="AP112" s="950"/>
      <c r="AQ112" s="951"/>
      <c r="AR112" s="66"/>
      <c r="AS112" s="66"/>
      <c r="AT112" s="964" t="s">
        <v>27</v>
      </c>
      <c r="AU112" s="964"/>
      <c r="AV112" s="964"/>
      <c r="AW112" s="964"/>
      <c r="AX112" s="964"/>
      <c r="AY112" s="964"/>
      <c r="AZ112" s="964"/>
      <c r="BA112" s="964"/>
      <c r="BB112" s="964"/>
      <c r="BC112" s="69"/>
      <c r="BD112" s="1028" t="s">
        <v>879</v>
      </c>
      <c r="BE112" s="1029"/>
      <c r="BF112" s="1029"/>
      <c r="BG112" s="1029"/>
      <c r="BH112" s="1029"/>
      <c r="BI112" s="1029"/>
      <c r="BJ112" s="1029"/>
      <c r="BK112" s="1029"/>
      <c r="BL112" s="1029"/>
      <c r="BM112" s="1030"/>
      <c r="BN112" s="69"/>
      <c r="BO112" s="66"/>
      <c r="BP112" s="958" t="s">
        <v>66</v>
      </c>
      <c r="BQ112" s="959"/>
      <c r="BR112" s="959"/>
      <c r="BS112" s="959"/>
      <c r="BT112" s="959"/>
      <c r="BU112" s="959"/>
      <c r="BV112" s="959"/>
      <c r="BW112" s="959"/>
      <c r="BX112" s="959"/>
      <c r="BY112" s="959"/>
      <c r="BZ112" s="959"/>
      <c r="CA112" s="959"/>
      <c r="CB112" s="959"/>
      <c r="CC112" s="959"/>
      <c r="CD112" s="960"/>
      <c r="CE112" s="66"/>
      <c r="CF112" s="66"/>
      <c r="CG112" s="955"/>
      <c r="CH112" s="956"/>
      <c r="CI112" s="956"/>
      <c r="CJ112" s="956"/>
      <c r="CK112" s="956"/>
      <c r="CL112" s="956"/>
      <c r="CM112" s="956"/>
      <c r="CN112" s="956"/>
      <c r="CO112" s="956"/>
      <c r="CP112" s="956"/>
      <c r="CQ112" s="956"/>
      <c r="CR112" s="956"/>
      <c r="CS112" s="956"/>
      <c r="CT112" s="956"/>
      <c r="CU112" s="957"/>
      <c r="CV112" s="121"/>
      <c r="CW112" s="122"/>
      <c r="CX112" s="122"/>
      <c r="CY112" s="122"/>
      <c r="CZ112" s="66"/>
      <c r="DA112" s="66"/>
      <c r="DB112" s="69"/>
      <c r="DC112" s="69"/>
      <c r="DD112" s="69"/>
      <c r="DE112" s="69"/>
      <c r="DF112" s="69"/>
      <c r="DG112" s="69"/>
      <c r="DH112" s="69"/>
      <c r="DI112" s="69"/>
      <c r="DJ112" s="122"/>
      <c r="DK112" s="122"/>
      <c r="DL112" s="122"/>
      <c r="DM112" s="122"/>
      <c r="DN112" s="122"/>
      <c r="DO112" s="122"/>
      <c r="DP112" s="122"/>
      <c r="DQ112" s="122"/>
      <c r="DR112" s="66"/>
      <c r="DS112" s="66"/>
      <c r="DT112" s="69"/>
      <c r="DU112" s="69"/>
      <c r="DV112" s="69"/>
      <c r="DW112" s="69"/>
      <c r="DX112" s="69"/>
      <c r="DY112" s="69"/>
      <c r="DZ112" s="69"/>
      <c r="EA112" s="69"/>
      <c r="EB112" s="122"/>
      <c r="EC112" s="122"/>
      <c r="ED112" s="122"/>
      <c r="EE112" s="122"/>
      <c r="EF112" s="122"/>
      <c r="EG112" s="122"/>
      <c r="EH112" s="122"/>
      <c r="EI112" s="122"/>
    </row>
    <row r="113" spans="1:161" ht="20.100000000000001" customHeight="1" x14ac:dyDescent="0.25">
      <c r="A113" s="69"/>
      <c r="B113" s="983"/>
      <c r="C113" s="984"/>
      <c r="D113" s="984"/>
      <c r="E113" s="984"/>
      <c r="F113" s="984"/>
      <c r="G113" s="984"/>
      <c r="H113" s="984"/>
      <c r="I113" s="984"/>
      <c r="J113" s="984"/>
      <c r="K113" s="984"/>
      <c r="L113" s="984"/>
      <c r="M113" s="985"/>
      <c r="N113" s="69"/>
      <c r="O113" s="952"/>
      <c r="P113" s="953"/>
      <c r="Q113" s="953"/>
      <c r="R113" s="953"/>
      <c r="S113" s="953"/>
      <c r="T113" s="953"/>
      <c r="U113" s="953"/>
      <c r="V113" s="953"/>
      <c r="W113" s="954"/>
      <c r="X113" s="69"/>
      <c r="Y113" s="952"/>
      <c r="Z113" s="953"/>
      <c r="AA113" s="953"/>
      <c r="AB113" s="953"/>
      <c r="AC113" s="953"/>
      <c r="AD113" s="953"/>
      <c r="AE113" s="953"/>
      <c r="AF113" s="953"/>
      <c r="AG113" s="954"/>
      <c r="AH113" s="69"/>
      <c r="AI113" s="952"/>
      <c r="AJ113" s="953"/>
      <c r="AK113" s="953"/>
      <c r="AL113" s="953"/>
      <c r="AM113" s="953"/>
      <c r="AN113" s="953"/>
      <c r="AO113" s="953"/>
      <c r="AP113" s="953"/>
      <c r="AQ113" s="954"/>
      <c r="AR113" s="69"/>
      <c r="AS113" s="69"/>
      <c r="AT113" s="930" t="s">
        <v>869</v>
      </c>
      <c r="AU113" s="931"/>
      <c r="AV113" s="931"/>
      <c r="AW113" s="931"/>
      <c r="AX113" s="932"/>
      <c r="AY113" s="930" t="s">
        <v>868</v>
      </c>
      <c r="AZ113" s="931"/>
      <c r="BA113" s="931"/>
      <c r="BB113" s="933"/>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c r="CF113" s="69"/>
      <c r="CG113" s="69"/>
      <c r="CH113" s="69"/>
      <c r="CI113" s="69"/>
      <c r="CJ113" s="69"/>
      <c r="CK113" s="69"/>
      <c r="CL113" s="69"/>
      <c r="CM113" s="123"/>
      <c r="CN113" s="123"/>
      <c r="CO113" s="123"/>
      <c r="CP113" s="123"/>
      <c r="CQ113" s="69"/>
      <c r="CR113" s="69"/>
      <c r="CS113" s="69"/>
      <c r="CT113" s="69"/>
      <c r="CU113" s="69"/>
      <c r="CV113" s="68"/>
      <c r="CW113" s="68"/>
      <c r="CX113" s="68"/>
      <c r="CY113" s="68"/>
      <c r="CZ113" s="68"/>
      <c r="DA113" s="68"/>
      <c r="DB113" s="68"/>
      <c r="DC113" s="66"/>
      <c r="DE113" s="68"/>
      <c r="DF113" s="68"/>
      <c r="DG113" s="68"/>
    </row>
    <row r="114" spans="1:161" s="68" customFormat="1" ht="20.100000000000001" customHeight="1" x14ac:dyDescent="0.25">
      <c r="B114" s="986"/>
      <c r="C114" s="987"/>
      <c r="D114" s="987"/>
      <c r="E114" s="987"/>
      <c r="F114" s="987"/>
      <c r="G114" s="987"/>
      <c r="H114" s="987"/>
      <c r="I114" s="987"/>
      <c r="J114" s="987"/>
      <c r="K114" s="987"/>
      <c r="L114" s="987"/>
      <c r="M114" s="988"/>
      <c r="N114" s="69"/>
      <c r="O114" s="955"/>
      <c r="P114" s="956"/>
      <c r="Q114" s="956"/>
      <c r="R114" s="956"/>
      <c r="S114" s="956"/>
      <c r="T114" s="956"/>
      <c r="U114" s="956"/>
      <c r="V114" s="956"/>
      <c r="W114" s="957"/>
      <c r="X114" s="66"/>
      <c r="Y114" s="955"/>
      <c r="Z114" s="956"/>
      <c r="AA114" s="956"/>
      <c r="AB114" s="956"/>
      <c r="AC114" s="956"/>
      <c r="AD114" s="956"/>
      <c r="AE114" s="956"/>
      <c r="AF114" s="956"/>
      <c r="AG114" s="957"/>
      <c r="AH114" s="66"/>
      <c r="AI114" s="955"/>
      <c r="AJ114" s="956"/>
      <c r="AK114" s="956"/>
      <c r="AL114" s="956"/>
      <c r="AM114" s="956"/>
      <c r="AN114" s="956"/>
      <c r="AO114" s="956"/>
      <c r="AP114" s="956"/>
      <c r="AQ114" s="957"/>
      <c r="AR114" s="66"/>
      <c r="AS114" s="66"/>
      <c r="AT114" s="930" t="s">
        <v>870</v>
      </c>
      <c r="AU114" s="931"/>
      <c r="AV114" s="931"/>
      <c r="AW114" s="931"/>
      <c r="AX114" s="933"/>
      <c r="AY114" s="1026" t="s">
        <v>871</v>
      </c>
      <c r="AZ114" s="1026"/>
      <c r="BA114" s="1026"/>
      <c r="BB114" s="1027"/>
      <c r="BC114" s="69"/>
      <c r="BD114" s="958" t="s">
        <v>434</v>
      </c>
      <c r="BE114" s="959"/>
      <c r="BF114" s="959"/>
      <c r="BG114" s="959"/>
      <c r="BH114" s="959"/>
      <c r="BI114" s="959"/>
      <c r="BJ114" s="959"/>
      <c r="BK114" s="959"/>
      <c r="BL114" s="959"/>
      <c r="BM114" s="960"/>
      <c r="BN114" s="69"/>
      <c r="BO114" s="66"/>
      <c r="BP114" s="958" t="s">
        <v>434</v>
      </c>
      <c r="BQ114" s="959"/>
      <c r="BR114" s="959"/>
      <c r="BS114" s="959"/>
      <c r="BT114" s="959"/>
      <c r="BU114" s="959"/>
      <c r="BV114" s="959"/>
      <c r="BW114" s="959"/>
      <c r="BX114" s="960"/>
      <c r="BY114" s="66"/>
      <c r="BZ114" s="958" t="s">
        <v>0</v>
      </c>
      <c r="CA114" s="959"/>
      <c r="CB114" s="959"/>
      <c r="CC114" s="959"/>
      <c r="CD114" s="960"/>
      <c r="CE114" s="61"/>
      <c r="CF114" s="61"/>
      <c r="CG114" s="958" t="s">
        <v>434</v>
      </c>
      <c r="CH114" s="959"/>
      <c r="CI114" s="959"/>
      <c r="CJ114" s="959"/>
      <c r="CK114" s="959"/>
      <c r="CL114" s="959"/>
      <c r="CM114" s="959"/>
      <c r="CN114" s="959"/>
      <c r="CO114" s="960"/>
      <c r="CP114" s="120"/>
      <c r="CQ114" s="958" t="s">
        <v>0</v>
      </c>
      <c r="CR114" s="959"/>
      <c r="CS114" s="959"/>
      <c r="CT114" s="959"/>
      <c r="CU114" s="960"/>
      <c r="CV114" s="66"/>
      <c r="CW114" s="66"/>
      <c r="CX114" s="66"/>
      <c r="CY114" s="66"/>
      <c r="CZ114" s="70"/>
      <c r="DA114" s="70"/>
      <c r="DB114" s="70"/>
      <c r="DC114" s="70"/>
      <c r="DD114" s="70"/>
      <c r="DE114" s="70"/>
      <c r="DF114" s="70"/>
      <c r="DG114" s="70"/>
      <c r="DH114" s="124"/>
      <c r="DI114" s="124"/>
      <c r="DJ114" s="124"/>
      <c r="DK114" s="124"/>
      <c r="DL114" s="124"/>
      <c r="DM114" s="124"/>
      <c r="DN114" s="124"/>
      <c r="DO114" s="124"/>
      <c r="DP114" s="66"/>
      <c r="DQ114" s="66"/>
      <c r="DR114" s="70"/>
      <c r="DS114" s="70"/>
      <c r="DT114" s="70"/>
      <c r="DU114" s="70"/>
      <c r="DV114" s="70"/>
      <c r="DW114" s="70"/>
      <c r="DX114" s="70"/>
      <c r="DY114" s="70"/>
      <c r="DZ114" s="124"/>
      <c r="EA114" s="124"/>
      <c r="EB114" s="124"/>
      <c r="EC114" s="124"/>
      <c r="ED114" s="124"/>
      <c r="EE114" s="124"/>
      <c r="EF114" s="124"/>
      <c r="EG114" s="124"/>
    </row>
    <row r="115" spans="1:161" s="68" customFormat="1" ht="20.100000000000001" customHeight="1" x14ac:dyDescent="0.25">
      <c r="B115" s="63"/>
      <c r="C115" s="63"/>
      <c r="D115" s="63"/>
      <c r="E115" s="63"/>
      <c r="F115" s="63"/>
      <c r="G115" s="63"/>
      <c r="H115" s="63"/>
      <c r="I115" s="63"/>
      <c r="J115" s="63"/>
      <c r="K115" s="63"/>
      <c r="L115" s="63"/>
      <c r="M115" s="63"/>
      <c r="N115" s="66"/>
      <c r="O115" s="63"/>
      <c r="P115" s="63"/>
      <c r="Q115" s="63"/>
      <c r="R115" s="63"/>
      <c r="S115" s="63"/>
      <c r="T115" s="63"/>
      <c r="U115" s="63"/>
      <c r="V115" s="63"/>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1"/>
      <c r="AU115" s="61"/>
      <c r="AV115" s="66"/>
      <c r="AW115" s="66"/>
      <c r="AX115" s="66"/>
      <c r="AY115" s="66"/>
      <c r="AZ115" s="66"/>
      <c r="BA115" s="66"/>
      <c r="BB115" s="66"/>
      <c r="BC115" s="69"/>
      <c r="BD115" s="61"/>
      <c r="BE115" s="61"/>
      <c r="BF115" s="66"/>
      <c r="BG115" s="66"/>
      <c r="BH115" s="66"/>
      <c r="BI115" s="66"/>
      <c r="BJ115" s="66"/>
      <c r="BK115" s="66"/>
      <c r="BL115" s="66"/>
      <c r="BM115" s="66"/>
      <c r="BN115" s="69"/>
      <c r="BO115" s="66"/>
      <c r="BP115" s="66"/>
      <c r="BQ115" s="66"/>
      <c r="BR115" s="66"/>
      <c r="BS115" s="66"/>
      <c r="BT115" s="66"/>
      <c r="BU115" s="66"/>
      <c r="BV115" s="66"/>
      <c r="BW115" s="66"/>
      <c r="BX115" s="66"/>
      <c r="BY115" s="66"/>
      <c r="BZ115" s="66"/>
      <c r="CA115" s="66"/>
      <c r="CB115" s="66"/>
      <c r="CC115" s="66"/>
      <c r="CD115" s="61"/>
      <c r="CE115" s="61"/>
      <c r="CF115" s="61"/>
      <c r="CG115" s="61"/>
      <c r="CH115" s="61"/>
      <c r="CI115" s="66"/>
      <c r="CJ115" s="66"/>
      <c r="CK115" s="66"/>
      <c r="CL115" s="66"/>
      <c r="CM115" s="120"/>
      <c r="CN115" s="120"/>
      <c r="CO115" s="120"/>
      <c r="CP115" s="120"/>
      <c r="CQ115" s="66"/>
      <c r="CR115" s="66"/>
      <c r="CS115" s="66"/>
      <c r="CT115" s="66"/>
      <c r="CU115" s="61"/>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c r="EA115" s="70"/>
      <c r="EB115" s="70"/>
      <c r="EC115" s="70"/>
      <c r="ED115" s="70"/>
      <c r="EE115" s="124"/>
      <c r="EF115" s="124"/>
      <c r="EG115" s="124"/>
      <c r="EH115" s="124"/>
      <c r="EI115" s="124"/>
      <c r="EJ115" s="124"/>
      <c r="EK115" s="124"/>
      <c r="EL115" s="124"/>
      <c r="EM115" s="66"/>
      <c r="EN115" s="66"/>
      <c r="EO115" s="70"/>
      <c r="EP115" s="70"/>
      <c r="EQ115" s="70"/>
      <c r="ER115" s="70"/>
      <c r="ES115" s="70"/>
      <c r="ET115" s="70"/>
      <c r="EU115" s="70"/>
      <c r="EV115" s="70"/>
      <c r="EW115" s="124"/>
      <c r="EX115" s="124"/>
      <c r="EY115" s="124"/>
      <c r="EZ115" s="124"/>
      <c r="FA115" s="124"/>
      <c r="FB115" s="124"/>
      <c r="FC115" s="124"/>
      <c r="FD115" s="124"/>
    </row>
    <row r="116" spans="1:161" s="68" customFormat="1" ht="20.100000000000001" customHeight="1" x14ac:dyDescent="0.25">
      <c r="B116" s="989" t="s">
        <v>2</v>
      </c>
      <c r="C116" s="990"/>
      <c r="D116" s="990"/>
      <c r="E116" s="990"/>
      <c r="F116" s="990"/>
      <c r="G116" s="990"/>
      <c r="H116" s="990"/>
      <c r="I116" s="990"/>
      <c r="J116" s="990"/>
      <c r="K116" s="990"/>
      <c r="L116" s="990"/>
      <c r="M116" s="991"/>
      <c r="N116" s="125"/>
      <c r="O116" s="938">
        <f>EQUIPE!O25</f>
        <v>40</v>
      </c>
      <c r="P116" s="939"/>
      <c r="Q116" s="939"/>
      <c r="R116" s="939"/>
      <c r="S116" s="939"/>
      <c r="T116" s="939"/>
      <c r="U116" s="939"/>
      <c r="V116" s="939"/>
      <c r="W116" s="940"/>
      <c r="X116" s="66"/>
      <c r="Y116" s="938">
        <f>EQUIPE!K25</f>
        <v>1</v>
      </c>
      <c r="Z116" s="939"/>
      <c r="AA116" s="939"/>
      <c r="AB116" s="939"/>
      <c r="AC116" s="939"/>
      <c r="AD116" s="939"/>
      <c r="AE116" s="939"/>
      <c r="AF116" s="939"/>
      <c r="AG116" s="940"/>
      <c r="AH116" s="66"/>
      <c r="AI116" s="946">
        <f>O116*Y116</f>
        <v>40</v>
      </c>
      <c r="AJ116" s="947"/>
      <c r="AK116" s="947"/>
      <c r="AL116" s="947"/>
      <c r="AM116" s="947"/>
      <c r="AN116" s="947"/>
      <c r="AO116" s="947"/>
      <c r="AP116" s="947"/>
      <c r="AQ116" s="948"/>
      <c r="AR116" s="66"/>
      <c r="AS116" s="66"/>
      <c r="AT116" s="935">
        <f>EQUIPE!T24</f>
        <v>1</v>
      </c>
      <c r="AU116" s="936"/>
      <c r="AV116" s="936"/>
      <c r="AW116" s="936"/>
      <c r="AX116" s="936"/>
      <c r="AY116" s="936">
        <f>EQUIPE!S24-EQUIPE!T24</f>
        <v>1</v>
      </c>
      <c r="AZ116" s="936"/>
      <c r="BA116" s="936"/>
      <c r="BB116" s="937"/>
      <c r="BC116" s="69"/>
      <c r="BD116" s="935">
        <f>EQUIPE!W25</f>
        <v>4</v>
      </c>
      <c r="BE116" s="936"/>
      <c r="BF116" s="936"/>
      <c r="BG116" s="936"/>
      <c r="BH116" s="936"/>
      <c r="BI116" s="936"/>
      <c r="BJ116" s="936"/>
      <c r="BK116" s="936"/>
      <c r="BL116" s="936"/>
      <c r="BM116" s="937"/>
      <c r="BN116" s="117"/>
      <c r="BO116" s="66"/>
      <c r="BP116" s="946">
        <f>O105</f>
        <v>16.356454147727273</v>
      </c>
      <c r="BQ116" s="947"/>
      <c r="BR116" s="947"/>
      <c r="BS116" s="947"/>
      <c r="BT116" s="947"/>
      <c r="BU116" s="947"/>
      <c r="BV116" s="947"/>
      <c r="BW116" s="947"/>
      <c r="BX116" s="948"/>
      <c r="BY116" s="66"/>
      <c r="BZ116" s="943">
        <f>BP116/AI116</f>
        <v>0.40891135369318182</v>
      </c>
      <c r="CA116" s="944"/>
      <c r="CB116" s="944"/>
      <c r="CC116" s="944"/>
      <c r="CD116" s="945"/>
      <c r="CE116" s="61"/>
      <c r="CF116" s="61"/>
      <c r="CG116" s="946">
        <f>AI116-AT116-BD116-BP116-AY116</f>
        <v>17.643545852272727</v>
      </c>
      <c r="CH116" s="947"/>
      <c r="CI116" s="947"/>
      <c r="CJ116" s="947"/>
      <c r="CK116" s="947"/>
      <c r="CL116" s="947"/>
      <c r="CM116" s="947"/>
      <c r="CN116" s="947"/>
      <c r="CO116" s="948"/>
      <c r="CP116" s="120"/>
      <c r="CQ116" s="943">
        <f>CG116/AI116</f>
        <v>0.44108864630681816</v>
      </c>
      <c r="CR116" s="944"/>
      <c r="CS116" s="944"/>
      <c r="CT116" s="944"/>
      <c r="CU116" s="945"/>
      <c r="CV116" s="70"/>
      <c r="CW116" s="70"/>
      <c r="CX116" s="70"/>
      <c r="CY116" s="70"/>
      <c r="CZ116" s="70"/>
      <c r="DA116" s="70"/>
      <c r="DB116" s="70"/>
      <c r="DC116" s="70"/>
      <c r="DD116" s="70"/>
      <c r="DE116" s="70"/>
      <c r="DF116" s="70"/>
      <c r="DG116" s="70"/>
      <c r="DH116" s="70"/>
      <c r="DI116" s="70"/>
      <c r="DJ116" s="70"/>
      <c r="DK116" s="70"/>
      <c r="DL116" s="70"/>
      <c r="DM116" s="70"/>
      <c r="DN116" s="70"/>
      <c r="DO116" s="70"/>
      <c r="DP116" s="70"/>
      <c r="DQ116" s="70"/>
      <c r="DR116" s="70"/>
      <c r="DS116" s="70"/>
      <c r="DT116" s="70"/>
      <c r="DU116" s="70"/>
      <c r="DV116" s="70"/>
      <c r="DW116" s="70"/>
      <c r="DX116" s="70"/>
      <c r="DY116" s="70"/>
      <c r="DZ116" s="70"/>
      <c r="EA116" s="70"/>
      <c r="EB116" s="70"/>
      <c r="EC116" s="70"/>
      <c r="ED116" s="70"/>
      <c r="EE116" s="70"/>
      <c r="EF116" s="124"/>
      <c r="EG116" s="124"/>
      <c r="EH116" s="124"/>
      <c r="EI116" s="124"/>
      <c r="EJ116" s="124"/>
      <c r="EK116" s="124"/>
      <c r="EL116" s="124"/>
      <c r="EM116" s="124"/>
      <c r="EN116" s="66"/>
      <c r="EO116" s="66"/>
      <c r="EP116" s="70"/>
      <c r="EQ116" s="70"/>
      <c r="ER116" s="70"/>
      <c r="ES116" s="70"/>
      <c r="ET116" s="70"/>
      <c r="EU116" s="70"/>
      <c r="EV116" s="70"/>
      <c r="EW116" s="70"/>
      <c r="EX116" s="124"/>
      <c r="EY116" s="124"/>
      <c r="EZ116" s="124"/>
      <c r="FA116" s="124"/>
      <c r="FB116" s="124"/>
      <c r="FC116" s="124"/>
      <c r="FD116" s="124"/>
      <c r="FE116" s="124"/>
    </row>
    <row r="117" spans="1:161" s="68" customFormat="1" ht="20.100000000000001" customHeight="1" x14ac:dyDescent="0.25">
      <c r="B117" s="992" t="s">
        <v>1</v>
      </c>
      <c r="C117" s="993"/>
      <c r="D117" s="993"/>
      <c r="E117" s="993"/>
      <c r="F117" s="993"/>
      <c r="G117" s="993"/>
      <c r="H117" s="993"/>
      <c r="I117" s="993"/>
      <c r="J117" s="993"/>
      <c r="K117" s="993"/>
      <c r="L117" s="993"/>
      <c r="M117" s="994"/>
      <c r="N117" s="125"/>
      <c r="O117" s="938">
        <f>EQUIPE!O24</f>
        <v>40</v>
      </c>
      <c r="P117" s="939"/>
      <c r="Q117" s="939"/>
      <c r="R117" s="939"/>
      <c r="S117" s="939"/>
      <c r="T117" s="939"/>
      <c r="U117" s="939"/>
      <c r="V117" s="939"/>
      <c r="W117" s="940"/>
      <c r="X117" s="66"/>
      <c r="Y117" s="938">
        <f>EQUIPE!K24</f>
        <v>1</v>
      </c>
      <c r="Z117" s="939"/>
      <c r="AA117" s="939"/>
      <c r="AB117" s="939"/>
      <c r="AC117" s="939"/>
      <c r="AD117" s="939"/>
      <c r="AE117" s="939"/>
      <c r="AF117" s="939"/>
      <c r="AG117" s="940"/>
      <c r="AH117" s="66"/>
      <c r="AI117" s="946">
        <f>O117*Y117</f>
        <v>40</v>
      </c>
      <c r="AJ117" s="947"/>
      <c r="AK117" s="947"/>
      <c r="AL117" s="947"/>
      <c r="AM117" s="947"/>
      <c r="AN117" s="947"/>
      <c r="AO117" s="947"/>
      <c r="AP117" s="947"/>
      <c r="AQ117" s="948"/>
      <c r="AR117" s="66"/>
      <c r="AS117" s="66"/>
      <c r="AT117" s="935">
        <f>EQUIPE!T25</f>
        <v>1</v>
      </c>
      <c r="AU117" s="936"/>
      <c r="AV117" s="936"/>
      <c r="AW117" s="936"/>
      <c r="AX117" s="936"/>
      <c r="AY117" s="936">
        <f>EQUIPE!S25-EQUIPE!T25</f>
        <v>1</v>
      </c>
      <c r="AZ117" s="936"/>
      <c r="BA117" s="936"/>
      <c r="BB117" s="937"/>
      <c r="BC117" s="69"/>
      <c r="BD117" s="935">
        <f>EQUIPE!W24</f>
        <v>8</v>
      </c>
      <c r="BE117" s="936"/>
      <c r="BF117" s="936"/>
      <c r="BG117" s="936"/>
      <c r="BH117" s="936"/>
      <c r="BI117" s="936"/>
      <c r="BJ117" s="936"/>
      <c r="BK117" s="936"/>
      <c r="BL117" s="936"/>
      <c r="BM117" s="937"/>
      <c r="BN117" s="117"/>
      <c r="BO117" s="66"/>
      <c r="BP117" s="946">
        <f>AH105</f>
        <v>18.58104352840909</v>
      </c>
      <c r="BQ117" s="947"/>
      <c r="BR117" s="947"/>
      <c r="BS117" s="947"/>
      <c r="BT117" s="947"/>
      <c r="BU117" s="947"/>
      <c r="BV117" s="947"/>
      <c r="BW117" s="947"/>
      <c r="BX117" s="948"/>
      <c r="BY117" s="66"/>
      <c r="BZ117" s="943">
        <f>BP117/AI117</f>
        <v>0.46452608821022723</v>
      </c>
      <c r="CA117" s="944"/>
      <c r="CB117" s="944"/>
      <c r="CC117" s="944"/>
      <c r="CD117" s="945"/>
      <c r="CE117" s="61"/>
      <c r="CF117" s="61"/>
      <c r="CG117" s="946">
        <f>AI117-AT117-BD117-BP117-AY117</f>
        <v>11.41895647159091</v>
      </c>
      <c r="CH117" s="947"/>
      <c r="CI117" s="947"/>
      <c r="CJ117" s="947"/>
      <c r="CK117" s="947"/>
      <c r="CL117" s="947"/>
      <c r="CM117" s="947"/>
      <c r="CN117" s="947"/>
      <c r="CO117" s="948"/>
      <c r="CP117" s="120"/>
      <c r="CQ117" s="943">
        <f>CG117/AI117</f>
        <v>0.28547391178977277</v>
      </c>
      <c r="CR117" s="944"/>
      <c r="CS117" s="944"/>
      <c r="CT117" s="944"/>
      <c r="CU117" s="945"/>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124"/>
      <c r="EG117" s="124"/>
      <c r="EH117" s="124"/>
      <c r="EI117" s="124"/>
      <c r="EJ117" s="124"/>
      <c r="EK117" s="124"/>
      <c r="EL117" s="124"/>
      <c r="EM117" s="124"/>
      <c r="EN117" s="66"/>
      <c r="EO117" s="66"/>
      <c r="EP117" s="70"/>
      <c r="EQ117" s="70"/>
      <c r="ER117" s="70"/>
      <c r="ES117" s="70"/>
      <c r="ET117" s="70"/>
      <c r="EU117" s="70"/>
      <c r="EV117" s="70"/>
      <c r="EW117" s="70"/>
      <c r="EX117" s="124"/>
      <c r="EY117" s="124"/>
      <c r="EZ117" s="124"/>
      <c r="FA117" s="124"/>
      <c r="FB117" s="124"/>
      <c r="FC117" s="124"/>
      <c r="FD117" s="124"/>
      <c r="FE117" s="124"/>
    </row>
    <row r="118" spans="1:161" s="68" customFormat="1" ht="20.100000000000001" customHeight="1" x14ac:dyDescent="0.25">
      <c r="B118" s="972" t="s">
        <v>8</v>
      </c>
      <c r="C118" s="973"/>
      <c r="D118" s="973"/>
      <c r="E118" s="973"/>
      <c r="F118" s="973"/>
      <c r="G118" s="973"/>
      <c r="H118" s="973"/>
      <c r="I118" s="973"/>
      <c r="J118" s="973"/>
      <c r="K118" s="973"/>
      <c r="L118" s="973"/>
      <c r="M118" s="974"/>
      <c r="N118" s="125"/>
      <c r="O118" s="938">
        <f>EQUIPE!O26</f>
        <v>40</v>
      </c>
      <c r="P118" s="939"/>
      <c r="Q118" s="939"/>
      <c r="R118" s="939"/>
      <c r="S118" s="939"/>
      <c r="T118" s="939"/>
      <c r="U118" s="939"/>
      <c r="V118" s="939"/>
      <c r="W118" s="940"/>
      <c r="X118" s="66"/>
      <c r="Y118" s="938">
        <f>EQUIPE!K26</f>
        <v>1</v>
      </c>
      <c r="Z118" s="939"/>
      <c r="AA118" s="939"/>
      <c r="AB118" s="939"/>
      <c r="AC118" s="939"/>
      <c r="AD118" s="939"/>
      <c r="AE118" s="939"/>
      <c r="AF118" s="939"/>
      <c r="AG118" s="940"/>
      <c r="AH118" s="66"/>
      <c r="AI118" s="946">
        <f>O118*Y118</f>
        <v>40</v>
      </c>
      <c r="AJ118" s="947"/>
      <c r="AK118" s="947"/>
      <c r="AL118" s="947"/>
      <c r="AM118" s="947"/>
      <c r="AN118" s="947"/>
      <c r="AO118" s="947"/>
      <c r="AP118" s="947"/>
      <c r="AQ118" s="948"/>
      <c r="AR118" s="66"/>
      <c r="AS118" s="66"/>
      <c r="AT118" s="935">
        <f>EQUIPE!T26</f>
        <v>1</v>
      </c>
      <c r="AU118" s="936"/>
      <c r="AV118" s="936"/>
      <c r="AW118" s="936"/>
      <c r="AX118" s="936"/>
      <c r="AY118" s="936">
        <f>EQUIPE!S26-EQUIPE!T26</f>
        <v>1</v>
      </c>
      <c r="AZ118" s="936"/>
      <c r="BA118" s="936"/>
      <c r="BB118" s="937"/>
      <c r="BC118" s="117"/>
      <c r="BD118" s="935">
        <f>EQUIPE!W26</f>
        <v>4</v>
      </c>
      <c r="BE118" s="936"/>
      <c r="BF118" s="936"/>
      <c r="BG118" s="936"/>
      <c r="BH118" s="936"/>
      <c r="BI118" s="936"/>
      <c r="BJ118" s="936"/>
      <c r="BK118" s="936"/>
      <c r="BL118" s="936"/>
      <c r="BM118" s="937"/>
      <c r="BN118" s="117"/>
      <c r="BO118" s="66"/>
      <c r="BP118" s="946">
        <f>CC105</f>
        <v>6.0182674715909092</v>
      </c>
      <c r="BQ118" s="947"/>
      <c r="BR118" s="947"/>
      <c r="BS118" s="947"/>
      <c r="BT118" s="947"/>
      <c r="BU118" s="947"/>
      <c r="BV118" s="947"/>
      <c r="BW118" s="947"/>
      <c r="BX118" s="948"/>
      <c r="BY118" s="66"/>
      <c r="BZ118" s="943">
        <f>BP118/AI118</f>
        <v>0.15045668678977273</v>
      </c>
      <c r="CA118" s="944"/>
      <c r="CB118" s="944"/>
      <c r="CC118" s="944"/>
      <c r="CD118" s="945"/>
      <c r="CE118" s="61"/>
      <c r="CF118" s="61"/>
      <c r="CG118" s="946">
        <f>AI118-AT118-BD118-BP118-AY118</f>
        <v>27.98173252840909</v>
      </c>
      <c r="CH118" s="947"/>
      <c r="CI118" s="947"/>
      <c r="CJ118" s="947"/>
      <c r="CK118" s="947"/>
      <c r="CL118" s="947"/>
      <c r="CM118" s="947"/>
      <c r="CN118" s="947"/>
      <c r="CO118" s="948"/>
      <c r="CP118" s="120"/>
      <c r="CQ118" s="943">
        <f>CG118/AI118</f>
        <v>0.69954331321022722</v>
      </c>
      <c r="CR118" s="944"/>
      <c r="CS118" s="944"/>
      <c r="CT118" s="944"/>
      <c r="CU118" s="945"/>
      <c r="CV118" s="70"/>
      <c r="CW118" s="70"/>
      <c r="CX118" s="70"/>
      <c r="CY118" s="70"/>
      <c r="CZ118" s="70"/>
      <c r="DA118" s="70"/>
      <c r="DB118" s="70"/>
      <c r="DC118" s="70"/>
      <c r="DD118" s="70"/>
      <c r="DE118" s="70"/>
      <c r="DF118" s="70"/>
      <c r="DG118" s="70"/>
      <c r="DH118" s="70"/>
      <c r="DI118" s="70"/>
      <c r="DJ118" s="70"/>
      <c r="DK118" s="70"/>
      <c r="DL118" s="70"/>
      <c r="DM118" s="70"/>
      <c r="DN118" s="70"/>
      <c r="DO118" s="70"/>
      <c r="DP118" s="70"/>
      <c r="DQ118" s="70"/>
      <c r="DR118" s="70"/>
      <c r="DS118" s="70"/>
      <c r="DT118" s="70"/>
      <c r="DU118" s="70"/>
      <c r="DV118" s="70"/>
      <c r="DW118" s="70"/>
      <c r="DX118" s="70"/>
      <c r="DY118" s="70"/>
      <c r="DZ118" s="70"/>
      <c r="EA118" s="70"/>
      <c r="EB118" s="70"/>
      <c r="EC118" s="70"/>
      <c r="ED118" s="70"/>
      <c r="EE118" s="70"/>
      <c r="EF118" s="124"/>
      <c r="EG118" s="124"/>
      <c r="EH118" s="124"/>
      <c r="EI118" s="124"/>
      <c r="EJ118" s="124"/>
      <c r="EK118" s="124"/>
      <c r="EL118" s="124"/>
      <c r="EM118" s="124"/>
      <c r="EN118" s="66"/>
      <c r="EO118" s="66"/>
      <c r="EP118" s="70"/>
      <c r="EQ118" s="70"/>
      <c r="ER118" s="70"/>
      <c r="ES118" s="70"/>
      <c r="ET118" s="70"/>
      <c r="EU118" s="70"/>
      <c r="EV118" s="70"/>
      <c r="EW118" s="70"/>
      <c r="EX118" s="124"/>
      <c r="EY118" s="124"/>
      <c r="EZ118" s="124"/>
      <c r="FA118" s="124"/>
      <c r="FB118" s="124"/>
      <c r="FC118" s="124"/>
      <c r="FD118" s="124"/>
      <c r="FE118" s="124"/>
    </row>
    <row r="119" spans="1:161" ht="20.100000000000001" customHeight="1" x14ac:dyDescent="0.25">
      <c r="B119" s="1035" t="s">
        <v>478</v>
      </c>
      <c r="C119" s="1036"/>
      <c r="D119" s="1036"/>
      <c r="E119" s="1036"/>
      <c r="F119" s="1036"/>
      <c r="G119" s="1036"/>
      <c r="H119" s="1036"/>
      <c r="I119" s="1036"/>
      <c r="J119" s="1036"/>
      <c r="K119" s="1036"/>
      <c r="L119" s="1036"/>
      <c r="M119" s="1037"/>
      <c r="O119" s="1038">
        <f>EQUIPE!O28</f>
        <v>40</v>
      </c>
      <c r="P119" s="1039"/>
      <c r="Q119" s="1039"/>
      <c r="R119" s="1039"/>
      <c r="S119" s="1039"/>
      <c r="T119" s="1039"/>
      <c r="U119" s="1039"/>
      <c r="V119" s="1039"/>
      <c r="W119" s="1040"/>
      <c r="Y119" s="1038">
        <f>EQUIPE!K28</f>
        <v>6</v>
      </c>
      <c r="Z119" s="1039"/>
      <c r="AA119" s="1039"/>
      <c r="AB119" s="1039"/>
      <c r="AC119" s="1039"/>
      <c r="AD119" s="1039"/>
      <c r="AE119" s="1039"/>
      <c r="AF119" s="1039"/>
      <c r="AG119" s="1040"/>
      <c r="AI119" s="946">
        <f>O119*Y119</f>
        <v>240</v>
      </c>
      <c r="AJ119" s="947"/>
      <c r="AK119" s="947"/>
      <c r="AL119" s="947"/>
      <c r="AM119" s="947"/>
      <c r="AN119" s="947"/>
      <c r="AO119" s="947"/>
      <c r="AP119" s="947"/>
      <c r="AQ119" s="948"/>
      <c r="AT119" s="935">
        <f>EQUIPE!T28</f>
        <v>1</v>
      </c>
      <c r="AU119" s="936"/>
      <c r="AV119" s="936"/>
      <c r="AW119" s="936"/>
      <c r="AX119" s="936"/>
      <c r="AY119" s="936">
        <f>EQUIPE!S28-EQUIPE!T28</f>
        <v>1</v>
      </c>
      <c r="AZ119" s="936"/>
      <c r="BA119" s="936"/>
      <c r="BB119" s="937"/>
      <c r="BD119" s="935">
        <f>EQUIPE!W28</f>
        <v>8</v>
      </c>
      <c r="BE119" s="936"/>
      <c r="BF119" s="936"/>
      <c r="BG119" s="936"/>
      <c r="BH119" s="936"/>
      <c r="BI119" s="936"/>
      <c r="BJ119" s="936"/>
      <c r="BK119" s="936"/>
      <c r="BL119" s="936"/>
      <c r="BM119" s="937"/>
      <c r="BP119" s="946">
        <f>BJ105</f>
        <v>65.151515151515142</v>
      </c>
      <c r="BQ119" s="947"/>
      <c r="BR119" s="947"/>
      <c r="BS119" s="947"/>
      <c r="BT119" s="947"/>
      <c r="BU119" s="947"/>
      <c r="BV119" s="947"/>
      <c r="BW119" s="947"/>
      <c r="BX119" s="948"/>
      <c r="BZ119" s="943">
        <f>BP119/AI119</f>
        <v>0.27146464646464641</v>
      </c>
      <c r="CA119" s="944"/>
      <c r="CB119" s="944"/>
      <c r="CC119" s="944"/>
      <c r="CD119" s="945"/>
      <c r="CG119" s="946">
        <f>AI119-AT119-BD119-BP119-AY119</f>
        <v>164.84848484848487</v>
      </c>
      <c r="CH119" s="947"/>
      <c r="CI119" s="947"/>
      <c r="CJ119" s="947"/>
      <c r="CK119" s="947"/>
      <c r="CL119" s="947"/>
      <c r="CM119" s="947"/>
      <c r="CN119" s="947"/>
      <c r="CO119" s="948"/>
      <c r="CQ119" s="943">
        <f>CG119/AI119</f>
        <v>0.68686868686868696</v>
      </c>
      <c r="CR119" s="944"/>
      <c r="CS119" s="944"/>
      <c r="CT119" s="944"/>
      <c r="CU119" s="945"/>
    </row>
    <row r="120" spans="1:161" ht="20.100000000000001" customHeight="1" x14ac:dyDescent="0.25">
      <c r="BJ120" s="928"/>
      <c r="BK120" s="928"/>
      <c r="BL120" s="928"/>
      <c r="BM120" s="928"/>
      <c r="BN120" s="928"/>
      <c r="CA120" s="126"/>
      <c r="CB120" s="126"/>
      <c r="CC120" s="126"/>
      <c r="CD120" s="126"/>
      <c r="CE120" s="126"/>
      <c r="CF120" s="126"/>
      <c r="CG120" s="126"/>
      <c r="CH120" s="126"/>
      <c r="CI120" s="126"/>
    </row>
    <row r="121" spans="1:161" ht="20.100000000000001" customHeight="1" x14ac:dyDescent="0.25">
      <c r="BJ121" s="927"/>
      <c r="BK121" s="927"/>
      <c r="BL121" s="927"/>
      <c r="BM121" s="927"/>
      <c r="BN121" s="927"/>
    </row>
  </sheetData>
  <sheetProtection sheet="1"/>
  <mergeCells count="719">
    <mergeCell ref="B74:M74"/>
    <mergeCell ref="O74:W74"/>
    <mergeCell ref="X74:AF74"/>
    <mergeCell ref="AH74:AP74"/>
    <mergeCell ref="AQ74:AY74"/>
    <mergeCell ref="AZ74:BH74"/>
    <mergeCell ref="A1:P1"/>
    <mergeCell ref="BZ119:CD119"/>
    <mergeCell ref="CG119:CO119"/>
    <mergeCell ref="B75:M75"/>
    <mergeCell ref="O75:W75"/>
    <mergeCell ref="B4:CL4"/>
    <mergeCell ref="BS96:CA97"/>
    <mergeCell ref="B94:CM94"/>
    <mergeCell ref="B89:M89"/>
    <mergeCell ref="O89:W89"/>
    <mergeCell ref="AT112:BB112"/>
    <mergeCell ref="B119:M119"/>
    <mergeCell ref="O119:W119"/>
    <mergeCell ref="Y119:AG119"/>
    <mergeCell ref="AI119:AQ119"/>
    <mergeCell ref="O118:W118"/>
    <mergeCell ref="O117:W117"/>
    <mergeCell ref="Y117:AG117"/>
    <mergeCell ref="BS81:CA81"/>
    <mergeCell ref="CC81:CK81"/>
    <mergeCell ref="BJ80:BR80"/>
    <mergeCell ref="AH78:AP78"/>
    <mergeCell ref="AQ78:AY78"/>
    <mergeCell ref="AZ78:BH78"/>
    <mergeCell ref="BS83:CA83"/>
    <mergeCell ref="CC83:CK83"/>
    <mergeCell ref="BS87:CA87"/>
    <mergeCell ref="X75:AF75"/>
    <mergeCell ref="AH75:AP75"/>
    <mergeCell ref="AQ75:AY75"/>
    <mergeCell ref="AZ75:BH75"/>
    <mergeCell ref="BJ75:BR75"/>
    <mergeCell ref="BD119:BM119"/>
    <mergeCell ref="BD112:BM112"/>
    <mergeCell ref="BD114:BM114"/>
    <mergeCell ref="AH96:BH96"/>
    <mergeCell ref="BJ96:BR96"/>
    <mergeCell ref="BJ81:BR81"/>
    <mergeCell ref="O96:AF96"/>
    <mergeCell ref="X76:AF76"/>
    <mergeCell ref="CQ119:CU119"/>
    <mergeCell ref="AH105:BH105"/>
    <mergeCell ref="BJ105:BR105"/>
    <mergeCell ref="BS105:CA105"/>
    <mergeCell ref="BP119:BX119"/>
    <mergeCell ref="CQ116:CU116"/>
    <mergeCell ref="CQ114:CU114"/>
    <mergeCell ref="X89:AF89"/>
    <mergeCell ref="AH89:AP89"/>
    <mergeCell ref="AQ89:AY89"/>
    <mergeCell ref="AZ89:BH89"/>
    <mergeCell ref="BJ89:BR89"/>
    <mergeCell ref="BS89:CA89"/>
    <mergeCell ref="CC89:CK89"/>
    <mergeCell ref="AZ97:BH97"/>
    <mergeCell ref="CC96:CK96"/>
    <mergeCell ref="CC97:CK97"/>
    <mergeCell ref="AY117:BB117"/>
    <mergeCell ref="AY116:BB116"/>
    <mergeCell ref="AT114:AX114"/>
    <mergeCell ref="AY114:BB114"/>
    <mergeCell ref="AT119:AX119"/>
    <mergeCell ref="AT118:AX118"/>
    <mergeCell ref="AT117:AX117"/>
    <mergeCell ref="CC87:CK87"/>
    <mergeCell ref="B82:M82"/>
    <mergeCell ref="O82:W82"/>
    <mergeCell ref="X82:AF82"/>
    <mergeCell ref="AH82:AP82"/>
    <mergeCell ref="AQ82:AY82"/>
    <mergeCell ref="AZ82:BH82"/>
    <mergeCell ref="BJ85:BR85"/>
    <mergeCell ref="BS82:CA82"/>
    <mergeCell ref="CC82:CK82"/>
    <mergeCell ref="B83:M83"/>
    <mergeCell ref="O83:W83"/>
    <mergeCell ref="X83:AF83"/>
    <mergeCell ref="AH83:AP83"/>
    <mergeCell ref="AQ83:AY83"/>
    <mergeCell ref="AZ83:BH83"/>
    <mergeCell ref="AZ85:BH85"/>
    <mergeCell ref="B84:M84"/>
    <mergeCell ref="AH81:AP81"/>
    <mergeCell ref="AQ81:AY81"/>
    <mergeCell ref="AZ81:BH81"/>
    <mergeCell ref="BJ84:BR84"/>
    <mergeCell ref="BJ83:BR83"/>
    <mergeCell ref="B87:M87"/>
    <mergeCell ref="O87:W87"/>
    <mergeCell ref="X87:AF87"/>
    <mergeCell ref="AH87:AP87"/>
    <mergeCell ref="AQ87:AY87"/>
    <mergeCell ref="AZ87:BH87"/>
    <mergeCell ref="BS84:CA84"/>
    <mergeCell ref="CC84:CK84"/>
    <mergeCell ref="B85:M85"/>
    <mergeCell ref="O85:W85"/>
    <mergeCell ref="X85:AF85"/>
    <mergeCell ref="AH85:AP85"/>
    <mergeCell ref="AQ85:AY85"/>
    <mergeCell ref="BJ82:BR82"/>
    <mergeCell ref="CC85:CK85"/>
    <mergeCell ref="AZ84:BH84"/>
    <mergeCell ref="B71:M71"/>
    <mergeCell ref="O71:W71"/>
    <mergeCell ref="X71:AF71"/>
    <mergeCell ref="AH71:AP71"/>
    <mergeCell ref="AQ71:AY71"/>
    <mergeCell ref="AZ71:BH71"/>
    <mergeCell ref="B73:M73"/>
    <mergeCell ref="O73:W73"/>
    <mergeCell ref="X73:AF73"/>
    <mergeCell ref="AH73:AP73"/>
    <mergeCell ref="AQ73:AY73"/>
    <mergeCell ref="AZ73:BH73"/>
    <mergeCell ref="B72:M72"/>
    <mergeCell ref="O72:W72"/>
    <mergeCell ref="X72:AF72"/>
    <mergeCell ref="AH72:AP72"/>
    <mergeCell ref="AQ72:AY72"/>
    <mergeCell ref="AZ72:BH72"/>
    <mergeCell ref="AZ70:BH70"/>
    <mergeCell ref="BJ70:BR70"/>
    <mergeCell ref="B60:G60"/>
    <mergeCell ref="BS70:CA70"/>
    <mergeCell ref="B70:M70"/>
    <mergeCell ref="O70:W70"/>
    <mergeCell ref="X70:AF70"/>
    <mergeCell ref="AH70:AP70"/>
    <mergeCell ref="AQ70:AY70"/>
    <mergeCell ref="I60:M60"/>
    <mergeCell ref="O60:W60"/>
    <mergeCell ref="X60:AF60"/>
    <mergeCell ref="AH60:AP60"/>
    <mergeCell ref="AQ60:AY60"/>
    <mergeCell ref="B68:M68"/>
    <mergeCell ref="O68:W68"/>
    <mergeCell ref="X68:AF68"/>
    <mergeCell ref="AH68:AP68"/>
    <mergeCell ref="AQ68:AY68"/>
    <mergeCell ref="AZ68:BH68"/>
    <mergeCell ref="BS66:CA66"/>
    <mergeCell ref="B66:M66"/>
    <mergeCell ref="CC55:CK55"/>
    <mergeCell ref="O56:W56"/>
    <mergeCell ref="X56:AF56"/>
    <mergeCell ref="AH56:AP56"/>
    <mergeCell ref="AQ56:AY56"/>
    <mergeCell ref="CC57:CK57"/>
    <mergeCell ref="AQ59:AY59"/>
    <mergeCell ref="B59:G59"/>
    <mergeCell ref="I59:M59"/>
    <mergeCell ref="O59:W59"/>
    <mergeCell ref="X59:AF59"/>
    <mergeCell ref="AH59:AP59"/>
    <mergeCell ref="AQ55:AY55"/>
    <mergeCell ref="AZ55:BH55"/>
    <mergeCell ref="B55:G55"/>
    <mergeCell ref="AQ57:AY57"/>
    <mergeCell ref="H56:M56"/>
    <mergeCell ref="X57:AF57"/>
    <mergeCell ref="AH57:AP57"/>
    <mergeCell ref="AZ60:BH60"/>
    <mergeCell ref="BJ60:BR60"/>
    <mergeCell ref="BJ78:BR78"/>
    <mergeCell ref="CC78:CK78"/>
    <mergeCell ref="BJ71:BR71"/>
    <mergeCell ref="BJ73:BR73"/>
    <mergeCell ref="BS75:CA75"/>
    <mergeCell ref="CC75:CK75"/>
    <mergeCell ref="BJ74:BR74"/>
    <mergeCell ref="BS74:CA74"/>
    <mergeCell ref="CC74:CK74"/>
    <mergeCell ref="BJ72:BR72"/>
    <mergeCell ref="BS72:CA72"/>
    <mergeCell ref="CC72:CK72"/>
    <mergeCell ref="BS78:CA78"/>
    <mergeCell ref="CC68:CK68"/>
    <mergeCell ref="BS71:CA71"/>
    <mergeCell ref="CC71:CK71"/>
    <mergeCell ref="CC76:CK76"/>
    <mergeCell ref="BJ68:BR68"/>
    <mergeCell ref="BJ66:BR66"/>
    <mergeCell ref="CC70:CK70"/>
    <mergeCell ref="BS73:CA73"/>
    <mergeCell ref="CC73:CK73"/>
    <mergeCell ref="O66:W66"/>
    <mergeCell ref="X66:AF66"/>
    <mergeCell ref="AH66:AP66"/>
    <mergeCell ref="AQ66:AY66"/>
    <mergeCell ref="AZ66:BH66"/>
    <mergeCell ref="B64:M64"/>
    <mergeCell ref="X64:AF64"/>
    <mergeCell ref="AH64:AP64"/>
    <mergeCell ref="AQ64:AY64"/>
    <mergeCell ref="AZ64:BH64"/>
    <mergeCell ref="B65:M65"/>
    <mergeCell ref="O65:W65"/>
    <mergeCell ref="X65:AF65"/>
    <mergeCell ref="AH65:AP65"/>
    <mergeCell ref="AQ65:AY65"/>
    <mergeCell ref="AZ65:BH65"/>
    <mergeCell ref="BJ65:BR65"/>
    <mergeCell ref="O64:W64"/>
    <mergeCell ref="BJ64:BR64"/>
    <mergeCell ref="B63:M63"/>
    <mergeCell ref="O63:W63"/>
    <mergeCell ref="X63:AF63"/>
    <mergeCell ref="AH63:AP63"/>
    <mergeCell ref="AQ63:AY63"/>
    <mergeCell ref="AZ63:BH63"/>
    <mergeCell ref="BJ63:BR63"/>
    <mergeCell ref="BS61:CA61"/>
    <mergeCell ref="BS63:CA63"/>
    <mergeCell ref="BJ61:BR61"/>
    <mergeCell ref="B61:M61"/>
    <mergeCell ref="O61:W61"/>
    <mergeCell ref="X61:AF61"/>
    <mergeCell ref="AH61:AP61"/>
    <mergeCell ref="AQ61:AY61"/>
    <mergeCell ref="AZ61:BH61"/>
    <mergeCell ref="CC61:CK61"/>
    <mergeCell ref="BJ59:BR59"/>
    <mergeCell ref="B58:G58"/>
    <mergeCell ref="CC60:CK60"/>
    <mergeCell ref="BS60:CA60"/>
    <mergeCell ref="AZ57:BH57"/>
    <mergeCell ref="X58:AF58"/>
    <mergeCell ref="AZ58:BH58"/>
    <mergeCell ref="AQ58:AY58"/>
    <mergeCell ref="AZ56:BH56"/>
    <mergeCell ref="BS56:CA56"/>
    <mergeCell ref="BJ56:BR56"/>
    <mergeCell ref="AH58:AP58"/>
    <mergeCell ref="CC63:CK63"/>
    <mergeCell ref="BS59:CA59"/>
    <mergeCell ref="BS58:CA58"/>
    <mergeCell ref="AZ59:BH59"/>
    <mergeCell ref="BJ58:BR58"/>
    <mergeCell ref="CC59:CK59"/>
    <mergeCell ref="CC58:CK58"/>
    <mergeCell ref="CC56:CK56"/>
    <mergeCell ref="BS57:CA57"/>
    <mergeCell ref="H55:M55"/>
    <mergeCell ref="I58:M58"/>
    <mergeCell ref="O55:W55"/>
    <mergeCell ref="O58:W58"/>
    <mergeCell ref="B56:G56"/>
    <mergeCell ref="B53:M53"/>
    <mergeCell ref="O53:W53"/>
    <mergeCell ref="X53:AF53"/>
    <mergeCell ref="AH53:AP53"/>
    <mergeCell ref="X55:AF55"/>
    <mergeCell ref="B57:G57"/>
    <mergeCell ref="H57:M57"/>
    <mergeCell ref="O57:W57"/>
    <mergeCell ref="AH55:AP55"/>
    <mergeCell ref="AZ54:BH54"/>
    <mergeCell ref="CC6:CK7"/>
    <mergeCell ref="B51:M51"/>
    <mergeCell ref="O51:W51"/>
    <mergeCell ref="X51:AF51"/>
    <mergeCell ref="AH51:AP51"/>
    <mergeCell ref="AQ51:AY51"/>
    <mergeCell ref="AZ51:BH51"/>
    <mergeCell ref="B52:M52"/>
    <mergeCell ref="O52:W52"/>
    <mergeCell ref="X52:AF52"/>
    <mergeCell ref="AH52:AP52"/>
    <mergeCell ref="AQ52:AY52"/>
    <mergeCell ref="AZ52:BH52"/>
    <mergeCell ref="B14:M14"/>
    <mergeCell ref="O14:W14"/>
    <mergeCell ref="X14:AF14"/>
    <mergeCell ref="B49:M49"/>
    <mergeCell ref="B37:M37"/>
    <mergeCell ref="O34:W34"/>
    <mergeCell ref="B34:M34"/>
    <mergeCell ref="AH14:AP14"/>
    <mergeCell ref="AQ14:AY14"/>
    <mergeCell ref="AZ14:BH14"/>
    <mergeCell ref="AQ25:AY25"/>
    <mergeCell ref="X24:AF24"/>
    <mergeCell ref="BS32:CA32"/>
    <mergeCell ref="AZ27:BH27"/>
    <mergeCell ref="AZ28:BH28"/>
    <mergeCell ref="BS30:CA30"/>
    <mergeCell ref="AZ24:BH24"/>
    <mergeCell ref="AQ16:AY16"/>
    <mergeCell ref="AH17:AP17"/>
    <mergeCell ref="AH21:AP21"/>
    <mergeCell ref="AH23:AP23"/>
    <mergeCell ref="BJ29:BR29"/>
    <mergeCell ref="BS29:CA29"/>
    <mergeCell ref="AZ32:BH32"/>
    <mergeCell ref="BJ30:BR30"/>
    <mergeCell ref="AZ30:BH30"/>
    <mergeCell ref="AZ16:BH16"/>
    <mergeCell ref="AZ17:BH17"/>
    <mergeCell ref="AQ21:AY21"/>
    <mergeCell ref="B16:M16"/>
    <mergeCell ref="B17:M17"/>
    <mergeCell ref="B21:M21"/>
    <mergeCell ref="B23:M23"/>
    <mergeCell ref="B24:M24"/>
    <mergeCell ref="B35:M35"/>
    <mergeCell ref="B19:M19"/>
    <mergeCell ref="B30:M30"/>
    <mergeCell ref="B32:M32"/>
    <mergeCell ref="B27:W27"/>
    <mergeCell ref="O29:W29"/>
    <mergeCell ref="B25:M25"/>
    <mergeCell ref="O25:W25"/>
    <mergeCell ref="O17:W17"/>
    <mergeCell ref="O21:W21"/>
    <mergeCell ref="O23:W23"/>
    <mergeCell ref="O24:W24"/>
    <mergeCell ref="B22:W22"/>
    <mergeCell ref="O35:W35"/>
    <mergeCell ref="O19:W19"/>
    <mergeCell ref="AH29:AP29"/>
    <mergeCell ref="AQ29:AY29"/>
    <mergeCell ref="O32:W32"/>
    <mergeCell ref="B44:M44"/>
    <mergeCell ref="O46:W46"/>
    <mergeCell ref="X46:AF46"/>
    <mergeCell ref="AZ46:BH46"/>
    <mergeCell ref="AH46:AP46"/>
    <mergeCell ref="AQ46:AY46"/>
    <mergeCell ref="B39:M39"/>
    <mergeCell ref="AQ53:AY53"/>
    <mergeCell ref="B9:M9"/>
    <mergeCell ref="B10:M10"/>
    <mergeCell ref="B11:M11"/>
    <mergeCell ref="B12:M12"/>
    <mergeCell ref="AZ7:BH7"/>
    <mergeCell ref="AZ10:BH10"/>
    <mergeCell ref="AZ11:BH11"/>
    <mergeCell ref="AZ12:BH12"/>
    <mergeCell ref="AQ11:AY11"/>
    <mergeCell ref="AQ12:AY12"/>
    <mergeCell ref="B28:M28"/>
    <mergeCell ref="B29:M29"/>
    <mergeCell ref="X37:AF37"/>
    <mergeCell ref="B36:M36"/>
    <mergeCell ref="AZ25:BH25"/>
    <mergeCell ref="AZ29:BH29"/>
    <mergeCell ref="X32:AF32"/>
    <mergeCell ref="AH32:AP32"/>
    <mergeCell ref="AH27:AP27"/>
    <mergeCell ref="AQ27:AY27"/>
    <mergeCell ref="AQ28:AY28"/>
    <mergeCell ref="X25:AF25"/>
    <mergeCell ref="AH25:AP25"/>
    <mergeCell ref="BS47:CA47"/>
    <mergeCell ref="CC92:CK92"/>
    <mergeCell ref="CC45:CK45"/>
    <mergeCell ref="BJ46:BR46"/>
    <mergeCell ref="BS46:CA46"/>
    <mergeCell ref="BJ45:BR45"/>
    <mergeCell ref="BJ49:BR49"/>
    <mergeCell ref="BJ51:BR51"/>
    <mergeCell ref="BS53:CA53"/>
    <mergeCell ref="CC53:CK53"/>
    <mergeCell ref="CC54:CK54"/>
    <mergeCell ref="BJ92:BR92"/>
    <mergeCell ref="BS54:CA54"/>
    <mergeCell ref="BS64:CA64"/>
    <mergeCell ref="CC64:CK64"/>
    <mergeCell ref="BS65:CA65"/>
    <mergeCell ref="CC65:CK65"/>
    <mergeCell ref="CC49:CK49"/>
    <mergeCell ref="BS92:CA92"/>
    <mergeCell ref="BS55:CA55"/>
    <mergeCell ref="CC66:CK66"/>
    <mergeCell ref="BS80:CA80"/>
    <mergeCell ref="CC80:CK80"/>
    <mergeCell ref="BS68:CA68"/>
    <mergeCell ref="B118:M118"/>
    <mergeCell ref="I104:M105"/>
    <mergeCell ref="B108:CU108"/>
    <mergeCell ref="O102:W102"/>
    <mergeCell ref="X100:AF100"/>
    <mergeCell ref="I100:M100"/>
    <mergeCell ref="I102:M102"/>
    <mergeCell ref="I103:M103"/>
    <mergeCell ref="AZ99:BH99"/>
    <mergeCell ref="AI117:AQ117"/>
    <mergeCell ref="BD116:BM116"/>
    <mergeCell ref="AZ100:BH100"/>
    <mergeCell ref="CC100:CK100"/>
    <mergeCell ref="CG114:CO114"/>
    <mergeCell ref="BP112:CD112"/>
    <mergeCell ref="CG118:CO118"/>
    <mergeCell ref="CG110:CU112"/>
    <mergeCell ref="AT110:CD110"/>
    <mergeCell ref="BP118:BX118"/>
    <mergeCell ref="I99:M99"/>
    <mergeCell ref="B102:H105"/>
    <mergeCell ref="B112:M114"/>
    <mergeCell ref="B116:M116"/>
    <mergeCell ref="B117:M117"/>
    <mergeCell ref="BJ39:BR39"/>
    <mergeCell ref="AZ37:BH37"/>
    <mergeCell ref="AQ45:AY45"/>
    <mergeCell ref="AZ44:BH44"/>
    <mergeCell ref="BJ43:BR43"/>
    <mergeCell ref="BJ36:BR36"/>
    <mergeCell ref="AZ36:BH36"/>
    <mergeCell ref="BJ41:BR41"/>
    <mergeCell ref="AZ42:BH42"/>
    <mergeCell ref="BJ42:BR42"/>
    <mergeCell ref="O39:W39"/>
    <mergeCell ref="X39:AF39"/>
    <mergeCell ref="AH39:AP39"/>
    <mergeCell ref="AQ39:AY39"/>
    <mergeCell ref="AZ39:BH39"/>
    <mergeCell ref="CC27:CK27"/>
    <mergeCell ref="BJ28:BR28"/>
    <mergeCell ref="CC28:CK28"/>
    <mergeCell ref="BJ27:BR27"/>
    <mergeCell ref="BS27:CA27"/>
    <mergeCell ref="X27:AF27"/>
    <mergeCell ref="O28:W28"/>
    <mergeCell ref="X28:AF28"/>
    <mergeCell ref="AH28:AP28"/>
    <mergeCell ref="BS28:CA28"/>
    <mergeCell ref="CC30:CK30"/>
    <mergeCell ref="AZ35:BH35"/>
    <mergeCell ref="AZ34:BH34"/>
    <mergeCell ref="X29:AF29"/>
    <mergeCell ref="X34:AF34"/>
    <mergeCell ref="X35:AF35"/>
    <mergeCell ref="CC35:CK35"/>
    <mergeCell ref="BS39:CA39"/>
    <mergeCell ref="CC37:CK37"/>
    <mergeCell ref="BJ47:BR47"/>
    <mergeCell ref="CC32:CK32"/>
    <mergeCell ref="BJ57:BR57"/>
    <mergeCell ref="O44:W44"/>
    <mergeCell ref="X44:AF44"/>
    <mergeCell ref="AH44:AP44"/>
    <mergeCell ref="AQ44:AY44"/>
    <mergeCell ref="BJ44:BR44"/>
    <mergeCell ref="BS44:CA44"/>
    <mergeCell ref="AQ36:AY36"/>
    <mergeCell ref="O45:W45"/>
    <mergeCell ref="BS37:CA37"/>
    <mergeCell ref="O37:W37"/>
    <mergeCell ref="AH37:AP37"/>
    <mergeCell ref="AQ37:AY37"/>
    <mergeCell ref="BJ37:BR37"/>
    <mergeCell ref="O36:W36"/>
    <mergeCell ref="X36:AF36"/>
    <mergeCell ref="AH34:AP34"/>
    <mergeCell ref="AH35:AP35"/>
    <mergeCell ref="BJ32:BR32"/>
    <mergeCell ref="BJ53:BR53"/>
    <mergeCell ref="X45:AF45"/>
    <mergeCell ref="BJ52:BR52"/>
    <mergeCell ref="AZ49:BH49"/>
    <mergeCell ref="X47:AF47"/>
    <mergeCell ref="AH47:AP47"/>
    <mergeCell ref="AQ47:AY47"/>
    <mergeCell ref="CC29:CK29"/>
    <mergeCell ref="BJ76:BR76"/>
    <mergeCell ref="BS76:CA76"/>
    <mergeCell ref="BS51:CA51"/>
    <mergeCell ref="BJ35:BR35"/>
    <mergeCell ref="BS35:CA35"/>
    <mergeCell ref="BJ54:BR54"/>
    <mergeCell ref="CC43:CK43"/>
    <mergeCell ref="CC52:CK52"/>
    <mergeCell ref="BS36:CA36"/>
    <mergeCell ref="BJ34:BR34"/>
    <mergeCell ref="BS34:CA34"/>
    <mergeCell ref="CC47:CK47"/>
    <mergeCell ref="CC39:CK39"/>
    <mergeCell ref="CC51:CK51"/>
    <mergeCell ref="CC34:CK34"/>
    <mergeCell ref="CC36:CK36"/>
    <mergeCell ref="CC44:CK44"/>
    <mergeCell ref="CC46:CK46"/>
    <mergeCell ref="BS45:CA45"/>
    <mergeCell ref="X30:AF30"/>
    <mergeCell ref="AH30:AP30"/>
    <mergeCell ref="AQ30:AY30"/>
    <mergeCell ref="AQ34:AY34"/>
    <mergeCell ref="AQ32:AY32"/>
    <mergeCell ref="AQ35:AY35"/>
    <mergeCell ref="AQ43:AY43"/>
    <mergeCell ref="AZ43:BH43"/>
    <mergeCell ref="AZ45:BH45"/>
    <mergeCell ref="AH36:AP36"/>
    <mergeCell ref="BJ25:BR25"/>
    <mergeCell ref="CG116:CO116"/>
    <mergeCell ref="AH104:AP104"/>
    <mergeCell ref="O103:W103"/>
    <mergeCell ref="X103:AF103"/>
    <mergeCell ref="AH103:AP103"/>
    <mergeCell ref="AQ103:AY103"/>
    <mergeCell ref="AQ99:AY99"/>
    <mergeCell ref="O110:AQ110"/>
    <mergeCell ref="O112:W114"/>
    <mergeCell ref="BJ104:BR104"/>
    <mergeCell ref="AI112:AQ114"/>
    <mergeCell ref="BS102:CA102"/>
    <mergeCell ref="BJ103:BR103"/>
    <mergeCell ref="BS103:CA103"/>
    <mergeCell ref="BS100:CA100"/>
    <mergeCell ref="BS85:CA85"/>
    <mergeCell ref="BJ87:BR87"/>
    <mergeCell ref="O30:W30"/>
    <mergeCell ref="AH100:AP100"/>
    <mergeCell ref="AQ100:AY100"/>
    <mergeCell ref="CC102:CK102"/>
    <mergeCell ref="AH76:AP76"/>
    <mergeCell ref="AQ76:AY76"/>
    <mergeCell ref="BS21:CA21"/>
    <mergeCell ref="BS23:CA23"/>
    <mergeCell ref="CC24:CK24"/>
    <mergeCell ref="CC17:CK17"/>
    <mergeCell ref="CC21:CK21"/>
    <mergeCell ref="CC23:CK23"/>
    <mergeCell ref="BS24:CA24"/>
    <mergeCell ref="CC25:CK25"/>
    <mergeCell ref="BS25:CA25"/>
    <mergeCell ref="AQ23:AY23"/>
    <mergeCell ref="AQ17:AY17"/>
    <mergeCell ref="AZ21:BH21"/>
    <mergeCell ref="AZ23:BH23"/>
    <mergeCell ref="BJ16:BR16"/>
    <mergeCell ref="AZ19:BH19"/>
    <mergeCell ref="BJ21:BR21"/>
    <mergeCell ref="BJ23:BR23"/>
    <mergeCell ref="BJ24:BR24"/>
    <mergeCell ref="BJ17:BR17"/>
    <mergeCell ref="AQ24:AY24"/>
    <mergeCell ref="AH19:AP19"/>
    <mergeCell ref="AQ19:AY19"/>
    <mergeCell ref="GG7:GH7"/>
    <mergeCell ref="X7:AF7"/>
    <mergeCell ref="AH7:AP7"/>
    <mergeCell ref="AQ7:AY7"/>
    <mergeCell ref="ER7:FA7"/>
    <mergeCell ref="FL7:FM7"/>
    <mergeCell ref="FW7:FX7"/>
    <mergeCell ref="BJ19:BR19"/>
    <mergeCell ref="ER9:FA9"/>
    <mergeCell ref="X19:AF19"/>
    <mergeCell ref="CC14:CK14"/>
    <mergeCell ref="CC16:CK16"/>
    <mergeCell ref="BS17:CA17"/>
    <mergeCell ref="BS6:CA7"/>
    <mergeCell ref="AH6:BH6"/>
    <mergeCell ref="BJ6:BR7"/>
    <mergeCell ref="BS14:CA14"/>
    <mergeCell ref="BJ14:BR14"/>
    <mergeCell ref="O6:AF6"/>
    <mergeCell ref="O7:W7"/>
    <mergeCell ref="O11:W11"/>
    <mergeCell ref="O12:W12"/>
    <mergeCell ref="O16:W16"/>
    <mergeCell ref="X17:AF17"/>
    <mergeCell ref="AH11:AP11"/>
    <mergeCell ref="O10:W10"/>
    <mergeCell ref="X16:AF16"/>
    <mergeCell ref="AH10:AP10"/>
    <mergeCell ref="AH16:AP16"/>
    <mergeCell ref="CC105:CK105"/>
    <mergeCell ref="BP114:BX114"/>
    <mergeCell ref="BZ118:CD118"/>
    <mergeCell ref="BZ114:CD114"/>
    <mergeCell ref="X23:AF23"/>
    <mergeCell ref="X21:AF21"/>
    <mergeCell ref="X10:AF10"/>
    <mergeCell ref="X11:AF11"/>
    <mergeCell ref="X12:AF12"/>
    <mergeCell ref="AH12:AP12"/>
    <mergeCell ref="AH24:AP24"/>
    <mergeCell ref="BS19:CA19"/>
    <mergeCell ref="CC19:CK19"/>
    <mergeCell ref="BJ10:BR10"/>
    <mergeCell ref="BJ11:BR11"/>
    <mergeCell ref="BJ12:BR12"/>
    <mergeCell ref="AQ10:AY10"/>
    <mergeCell ref="BS10:CA10"/>
    <mergeCell ref="BS11:CA11"/>
    <mergeCell ref="BS12:CA12"/>
    <mergeCell ref="CC10:CK10"/>
    <mergeCell ref="CC11:CK11"/>
    <mergeCell ref="CC12:CK12"/>
    <mergeCell ref="BS16:CA16"/>
    <mergeCell ref="CQ117:CU117"/>
    <mergeCell ref="Y118:AG118"/>
    <mergeCell ref="AI116:AQ116"/>
    <mergeCell ref="AI118:AQ118"/>
    <mergeCell ref="BP117:BX117"/>
    <mergeCell ref="BP116:BX116"/>
    <mergeCell ref="Y112:AG114"/>
    <mergeCell ref="CG117:CO117"/>
    <mergeCell ref="BD117:BM117"/>
    <mergeCell ref="Y116:AG116"/>
    <mergeCell ref="BZ117:CD117"/>
    <mergeCell ref="BZ116:CD116"/>
    <mergeCell ref="CQ118:CU118"/>
    <mergeCell ref="GG97:GH97"/>
    <mergeCell ref="AH97:AP97"/>
    <mergeCell ref="AQ97:AY97"/>
    <mergeCell ref="BJ97:BR97"/>
    <mergeCell ref="X104:AF104"/>
    <mergeCell ref="X97:AF97"/>
    <mergeCell ref="X102:AF102"/>
    <mergeCell ref="CC99:CK99"/>
    <mergeCell ref="FW97:FX97"/>
    <mergeCell ref="AZ104:BH104"/>
    <mergeCell ref="AH102:AP102"/>
    <mergeCell ref="CC104:CK104"/>
    <mergeCell ref="BS104:CA104"/>
    <mergeCell ref="CC103:CK103"/>
    <mergeCell ref="ER97:FA97"/>
    <mergeCell ref="BJ100:BR100"/>
    <mergeCell ref="BS99:CA99"/>
    <mergeCell ref="FL97:FM97"/>
    <mergeCell ref="X99:AF99"/>
    <mergeCell ref="AH99:AP99"/>
    <mergeCell ref="AZ102:BH102"/>
    <mergeCell ref="BJ121:BN121"/>
    <mergeCell ref="BJ120:BN120"/>
    <mergeCell ref="BJ102:BR102"/>
    <mergeCell ref="BJ99:BR99"/>
    <mergeCell ref="O105:AF105"/>
    <mergeCell ref="O104:W104"/>
    <mergeCell ref="AT113:AX113"/>
    <mergeCell ref="AY113:BB113"/>
    <mergeCell ref="AQ104:AY104"/>
    <mergeCell ref="BD118:BM118"/>
    <mergeCell ref="O116:W116"/>
    <mergeCell ref="AZ103:BH103"/>
    <mergeCell ref="AQ102:AY102"/>
    <mergeCell ref="AT116:AX116"/>
    <mergeCell ref="AY119:BB119"/>
    <mergeCell ref="AY118:BB118"/>
    <mergeCell ref="O100:W100"/>
    <mergeCell ref="O99:W99"/>
    <mergeCell ref="B76:M76"/>
    <mergeCell ref="O76:W76"/>
    <mergeCell ref="BS52:CA52"/>
    <mergeCell ref="B46:M46"/>
    <mergeCell ref="BS49:CA49"/>
    <mergeCell ref="B45:M45"/>
    <mergeCell ref="O47:W47"/>
    <mergeCell ref="AZ47:BH47"/>
    <mergeCell ref="B47:M47"/>
    <mergeCell ref="AH45:AP45"/>
    <mergeCell ref="AZ53:BH53"/>
    <mergeCell ref="B54:M54"/>
    <mergeCell ref="O54:W54"/>
    <mergeCell ref="X54:AF54"/>
    <mergeCell ref="AH54:AP54"/>
    <mergeCell ref="AQ54:AY54"/>
    <mergeCell ref="D67:L67"/>
    <mergeCell ref="AZ76:BH76"/>
    <mergeCell ref="O67:W67"/>
    <mergeCell ref="AH67:AP67"/>
    <mergeCell ref="O49:W49"/>
    <mergeCell ref="X49:AF49"/>
    <mergeCell ref="AH49:AP49"/>
    <mergeCell ref="AQ49:AY49"/>
    <mergeCell ref="CC41:CK41"/>
    <mergeCell ref="B42:M42"/>
    <mergeCell ref="O42:W42"/>
    <mergeCell ref="X42:AF42"/>
    <mergeCell ref="AH42:AP42"/>
    <mergeCell ref="AQ42:AY42"/>
    <mergeCell ref="B41:M41"/>
    <mergeCell ref="O41:W41"/>
    <mergeCell ref="BS43:CA43"/>
    <mergeCell ref="B43:M43"/>
    <mergeCell ref="O43:W43"/>
    <mergeCell ref="X43:AF43"/>
    <mergeCell ref="AH43:AP43"/>
    <mergeCell ref="AQ41:AY41"/>
    <mergeCell ref="AZ41:BH41"/>
    <mergeCell ref="X41:AF41"/>
    <mergeCell ref="AH41:AP41"/>
    <mergeCell ref="BS42:CA42"/>
    <mergeCell ref="CC42:CK42"/>
    <mergeCell ref="BS41:CA41"/>
    <mergeCell ref="X92:AF92"/>
    <mergeCell ref="AH92:AP92"/>
    <mergeCell ref="AQ92:AY92"/>
    <mergeCell ref="AZ92:BH92"/>
    <mergeCell ref="O92:W92"/>
    <mergeCell ref="B78:M78"/>
    <mergeCell ref="O78:W78"/>
    <mergeCell ref="X78:AF78"/>
    <mergeCell ref="B99:H100"/>
    <mergeCell ref="O97:W97"/>
    <mergeCell ref="B92:M92"/>
    <mergeCell ref="B80:M80"/>
    <mergeCell ref="O80:W80"/>
    <mergeCell ref="X80:AF80"/>
    <mergeCell ref="AH80:AP80"/>
    <mergeCell ref="AQ80:AY80"/>
    <mergeCell ref="AZ80:BH80"/>
    <mergeCell ref="O84:W84"/>
    <mergeCell ref="X84:AF84"/>
    <mergeCell ref="AH84:AP84"/>
    <mergeCell ref="AQ84:AY84"/>
    <mergeCell ref="B81:M81"/>
    <mergeCell ref="O81:W81"/>
    <mergeCell ref="X81:AF81"/>
  </mergeCells>
  <phoneticPr fontId="3" type="noConversion"/>
  <pageMargins left="0.51181102362204722" right="0.51181102362204722" top="0.78740157480314965" bottom="0.78740157480314965" header="0.31496062992125984" footer="0.31496062992125984"/>
  <pageSetup paperSize="9" scale="71" orientation="landscape" r:id="rId1"/>
  <rowBreaks count="5" manualBreakCount="5">
    <brk id="19" max="98" man="1"/>
    <brk id="32" max="98" man="1"/>
    <brk id="92" max="98" man="1"/>
    <brk id="106" max="98" man="1"/>
    <brk id="119" max="98" man="1"/>
  </rowBreaks>
  <ignoredErrors>
    <ignoredError sqref="CB92 BQ117:BX117 CH118:CP118 BQ116:BX116 CH116:CP116 CH117:CP117 P92:W92 AG92 CL92" evalError="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A1:HA110"/>
  <sheetViews>
    <sheetView workbookViewId="0">
      <selection activeCell="S81" sqref="S81:AK81"/>
    </sheetView>
  </sheetViews>
  <sheetFormatPr defaultColWidth="11" defaultRowHeight="15" x14ac:dyDescent="0.25"/>
  <cols>
    <col min="1" max="4" width="2.625" style="61" customWidth="1"/>
    <col min="5" max="83" width="1.625" style="61" customWidth="1"/>
    <col min="84" max="84" width="8" style="61" hidden="1" customWidth="1"/>
    <col min="85" max="85" width="1.625" style="61" customWidth="1"/>
    <col min="86" max="110" width="1.625" style="61" hidden="1" customWidth="1"/>
    <col min="111" max="145" width="1.625" style="61" customWidth="1"/>
    <col min="146" max="146" width="12.625" style="61" customWidth="1"/>
    <col min="147" max="148" width="10.625" style="61" customWidth="1"/>
    <col min="149" max="149" width="12.875" style="61" customWidth="1"/>
    <col min="150" max="150" width="10.375" style="61" bestFit="1" customWidth="1"/>
    <col min="151" max="16384" width="11" style="61"/>
  </cols>
  <sheetData>
    <row r="1" spans="1:209" s="355" customFormat="1" ht="68.25" customHeight="1" thickBot="1" x14ac:dyDescent="0.25">
      <c r="A1" s="364"/>
      <c r="B1" s="364"/>
      <c r="C1" s="364"/>
      <c r="D1" s="364"/>
      <c r="E1" s="364"/>
      <c r="F1" s="364"/>
      <c r="G1" s="364"/>
      <c r="H1" s="364"/>
      <c r="I1" s="364"/>
      <c r="J1" s="364"/>
      <c r="K1" s="364"/>
      <c r="L1" s="364"/>
      <c r="M1" s="364"/>
      <c r="N1" s="364"/>
      <c r="O1" s="364"/>
      <c r="P1" s="364"/>
    </row>
    <row r="2" spans="1:209" ht="15" customHeight="1" thickBot="1" x14ac:dyDescent="0.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6"/>
      <c r="BU2" s="66"/>
      <c r="BV2" s="63"/>
      <c r="BW2" s="63"/>
      <c r="BX2" s="63"/>
      <c r="BY2" s="63"/>
      <c r="BZ2" s="63"/>
      <c r="CA2" s="63"/>
      <c r="CB2" s="63"/>
      <c r="CC2" s="63"/>
      <c r="CD2" s="63"/>
      <c r="CE2" s="63"/>
      <c r="CF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Z2" s="65"/>
      <c r="FA2" s="65"/>
      <c r="FB2" s="65"/>
      <c r="FC2" s="65"/>
      <c r="FD2" s="65"/>
      <c r="FE2" s="65"/>
    </row>
    <row r="3" spans="1:209" ht="21" x14ac:dyDescent="0.25">
      <c r="E3" s="1088" t="s">
        <v>679</v>
      </c>
      <c r="F3" s="1089"/>
      <c r="G3" s="1089"/>
      <c r="H3" s="1089"/>
      <c r="I3" s="1089"/>
      <c r="J3" s="1089"/>
      <c r="K3" s="1089"/>
      <c r="L3" s="1089"/>
      <c r="M3" s="1089"/>
      <c r="N3" s="1089"/>
      <c r="O3" s="1089"/>
      <c r="P3" s="1089"/>
      <c r="Q3" s="1089"/>
      <c r="R3" s="1089"/>
      <c r="S3" s="1089"/>
      <c r="T3" s="1089"/>
      <c r="U3" s="1089"/>
      <c r="V3" s="1089"/>
      <c r="W3" s="1089"/>
      <c r="X3" s="1089"/>
      <c r="Y3" s="1089"/>
      <c r="Z3" s="1089"/>
      <c r="AA3" s="1089"/>
      <c r="AB3" s="1089"/>
      <c r="AC3" s="1089"/>
      <c r="AD3" s="1089"/>
      <c r="AE3" s="1089"/>
      <c r="AF3" s="1089"/>
      <c r="AG3" s="1089"/>
      <c r="AH3" s="1089"/>
      <c r="AI3" s="1089"/>
      <c r="AJ3" s="1089"/>
      <c r="AK3" s="1089"/>
      <c r="AL3" s="1089"/>
      <c r="AM3" s="1089"/>
      <c r="AN3" s="1089"/>
      <c r="AO3" s="1089"/>
      <c r="AP3" s="1089"/>
      <c r="AQ3" s="1089"/>
      <c r="AR3" s="1089"/>
      <c r="AS3" s="1089"/>
      <c r="AT3" s="1089"/>
      <c r="AU3" s="1089"/>
      <c r="AV3" s="1089"/>
      <c r="AW3" s="1089"/>
      <c r="AX3" s="1089"/>
      <c r="AY3" s="1089"/>
      <c r="AZ3" s="1089"/>
      <c r="BA3" s="1089"/>
      <c r="BB3" s="1089"/>
      <c r="BC3" s="1089"/>
      <c r="BD3" s="1089"/>
      <c r="BE3" s="1089"/>
      <c r="BF3" s="1089"/>
      <c r="BG3" s="1089"/>
      <c r="BH3" s="1089"/>
      <c r="BI3" s="1089"/>
      <c r="BJ3" s="1089"/>
      <c r="BK3" s="1089"/>
      <c r="BL3" s="1089"/>
      <c r="BM3" s="1089"/>
      <c r="BN3" s="1089"/>
      <c r="BO3" s="1089"/>
      <c r="BP3" s="1089"/>
      <c r="BQ3" s="1089"/>
      <c r="BR3" s="1089"/>
      <c r="BS3" s="1089"/>
      <c r="BT3" s="1089"/>
      <c r="BU3" s="1089"/>
      <c r="BV3" s="1089"/>
      <c r="BW3" s="1089"/>
      <c r="BX3" s="1089"/>
      <c r="BY3" s="1089"/>
      <c r="BZ3" s="1089"/>
      <c r="CA3" s="1089"/>
      <c r="CB3" s="1089"/>
      <c r="CC3" s="1089"/>
      <c r="CD3" s="1089"/>
      <c r="CE3" s="1090"/>
      <c r="CF3" s="222"/>
      <c r="CH3" s="222"/>
      <c r="CI3" s="222"/>
      <c r="CJ3" s="222"/>
      <c r="CK3" s="222"/>
      <c r="CL3" s="222"/>
      <c r="CM3" s="222"/>
      <c r="CN3" s="222"/>
      <c r="CO3" s="222"/>
      <c r="CP3" s="222"/>
      <c r="CQ3" s="222"/>
      <c r="CR3" s="222"/>
      <c r="CS3" s="222"/>
      <c r="CT3" s="223"/>
      <c r="CU3" s="223"/>
      <c r="CV3" s="223"/>
      <c r="CW3" s="223"/>
      <c r="CX3" s="223"/>
      <c r="CY3" s="223"/>
      <c r="CZ3" s="223"/>
      <c r="DA3" s="223"/>
      <c r="DB3" s="223"/>
      <c r="DC3" s="223"/>
      <c r="DD3" s="223"/>
      <c r="DE3" s="223"/>
      <c r="DF3" s="223"/>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row>
    <row r="4" spans="1:209" ht="5.0999999999999996" customHeight="1" x14ac:dyDescent="0.25">
      <c r="E4" s="63"/>
      <c r="F4" s="63"/>
      <c r="G4" s="63"/>
      <c r="H4" s="63"/>
      <c r="I4" s="63"/>
      <c r="J4" s="63"/>
      <c r="K4" s="63"/>
      <c r="L4" s="63"/>
      <c r="M4" s="63"/>
      <c r="N4" s="63"/>
      <c r="O4" s="63"/>
      <c r="P4" s="63"/>
      <c r="Q4" s="63"/>
      <c r="R4" s="63"/>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H4" s="69"/>
      <c r="CI4" s="69"/>
      <c r="CJ4" s="69"/>
      <c r="CK4" s="69"/>
      <c r="CL4" s="69"/>
      <c r="CM4" s="69"/>
      <c r="CN4" s="69"/>
      <c r="CO4" s="224"/>
      <c r="CP4" s="224"/>
      <c r="CQ4" s="224"/>
      <c r="CR4" s="224"/>
      <c r="CS4" s="70"/>
      <c r="CT4" s="70"/>
      <c r="CU4" s="69"/>
      <c r="CV4" s="69"/>
      <c r="CW4" s="69"/>
      <c r="CX4" s="69"/>
      <c r="CY4" s="69"/>
      <c r="CZ4" s="69"/>
      <c r="DA4" s="69"/>
      <c r="DB4" s="224"/>
      <c r="DC4" s="224"/>
      <c r="DD4" s="224"/>
      <c r="DE4" s="224"/>
      <c r="DF4" s="70"/>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6"/>
      <c r="ER4" s="68"/>
      <c r="ES4" s="68"/>
      <c r="ET4" s="68"/>
    </row>
    <row r="5" spans="1:209" s="68" customFormat="1" ht="41.25" customHeight="1" x14ac:dyDescent="0.2">
      <c r="E5" s="1091" t="s">
        <v>659</v>
      </c>
      <c r="F5" s="1092"/>
      <c r="G5" s="1092"/>
      <c r="H5" s="1092"/>
      <c r="I5" s="1092"/>
      <c r="J5" s="1092"/>
      <c r="K5" s="1092"/>
      <c r="L5" s="1092"/>
      <c r="M5" s="1092"/>
      <c r="N5" s="1092"/>
      <c r="O5" s="1092"/>
      <c r="P5" s="1093"/>
      <c r="S5" s="1048" t="s">
        <v>660</v>
      </c>
      <c r="T5" s="1049"/>
      <c r="U5" s="1049"/>
      <c r="V5" s="1049"/>
      <c r="W5" s="1049"/>
      <c r="X5" s="1049"/>
      <c r="Y5" s="1049"/>
      <c r="Z5" s="1049"/>
      <c r="AA5" s="1049"/>
      <c r="AB5" s="1049"/>
      <c r="AC5" s="1049"/>
      <c r="AD5" s="1049"/>
      <c r="AE5" s="1049"/>
      <c r="AF5" s="1049"/>
      <c r="AG5" s="1049"/>
      <c r="AH5" s="1049"/>
      <c r="AI5" s="1049"/>
      <c r="AJ5" s="1049"/>
      <c r="AK5" s="1049"/>
      <c r="AL5" s="1049"/>
      <c r="AM5" s="1049"/>
      <c r="AN5" s="1049"/>
      <c r="AO5" s="1049"/>
      <c r="AP5" s="1049"/>
      <c r="AQ5" s="1049"/>
      <c r="AR5" s="1049"/>
      <c r="AS5" s="1049"/>
      <c r="AT5" s="1049"/>
      <c r="AU5" s="1049"/>
      <c r="AV5" s="1049"/>
      <c r="AW5" s="1049"/>
      <c r="AX5" s="1049"/>
      <c r="AY5" s="1049"/>
      <c r="AZ5" s="1049"/>
      <c r="BA5" s="1049"/>
      <c r="BB5" s="1050"/>
      <c r="BC5" s="70"/>
      <c r="BD5" s="1048" t="s">
        <v>670</v>
      </c>
      <c r="BE5" s="1049"/>
      <c r="BF5" s="1049"/>
      <c r="BG5" s="1049"/>
      <c r="BH5" s="1049"/>
      <c r="BI5" s="1049"/>
      <c r="BJ5" s="1049"/>
      <c r="BK5" s="1049"/>
      <c r="BL5" s="1050"/>
      <c r="BM5" s="70"/>
      <c r="BN5" s="1094" t="s">
        <v>661</v>
      </c>
      <c r="BO5" s="1095"/>
      <c r="BP5" s="1095"/>
      <c r="BQ5" s="1095"/>
      <c r="BR5" s="1095"/>
      <c r="BS5" s="1095"/>
      <c r="BT5" s="1095"/>
      <c r="BU5" s="1095"/>
      <c r="BV5" s="1096"/>
      <c r="BW5" s="1094" t="s">
        <v>662</v>
      </c>
      <c r="BX5" s="1095"/>
      <c r="BY5" s="1095"/>
      <c r="BZ5" s="1095"/>
      <c r="CA5" s="1095"/>
      <c r="CB5" s="1095"/>
      <c r="CC5" s="1095"/>
      <c r="CD5" s="1095"/>
      <c r="CE5" s="1096"/>
      <c r="CF5" s="76"/>
      <c r="CG5" s="70"/>
      <c r="CH5" s="1052" t="s">
        <v>671</v>
      </c>
      <c r="CI5" s="1052"/>
      <c r="CJ5" s="1052"/>
      <c r="CK5" s="1052"/>
      <c r="CL5" s="1052"/>
      <c r="CM5" s="1052"/>
      <c r="CN5" s="1052"/>
      <c r="CO5" s="1052"/>
      <c r="CP5" s="1052"/>
      <c r="CQ5" s="1052"/>
      <c r="CR5" s="1052"/>
      <c r="CS5" s="1053"/>
      <c r="CT5" s="70"/>
      <c r="CU5" s="1052" t="s">
        <v>672</v>
      </c>
      <c r="CV5" s="1052"/>
      <c r="CW5" s="1052"/>
      <c r="CX5" s="1052"/>
      <c r="CY5" s="1052"/>
      <c r="CZ5" s="1052"/>
      <c r="DA5" s="1052"/>
      <c r="DB5" s="1052"/>
      <c r="DC5" s="1052"/>
      <c r="DD5" s="1052"/>
      <c r="DE5" s="1052"/>
      <c r="DF5" s="1053"/>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941"/>
      <c r="FK5" s="941"/>
      <c r="FL5" s="941"/>
      <c r="FM5" s="941"/>
      <c r="FN5" s="941"/>
      <c r="FO5" s="941"/>
      <c r="FP5" s="941"/>
      <c r="FQ5" s="941"/>
      <c r="FR5" s="941"/>
      <c r="FS5" s="941"/>
      <c r="FT5" s="75"/>
      <c r="FU5" s="75"/>
      <c r="FV5" s="75"/>
      <c r="FW5" s="75"/>
      <c r="FX5" s="75"/>
      <c r="FY5" s="75"/>
      <c r="FZ5" s="75"/>
      <c r="GA5" s="75"/>
      <c r="GB5" s="75"/>
      <c r="GC5" s="75"/>
      <c r="GD5" s="941"/>
      <c r="GE5" s="941"/>
      <c r="GF5" s="76"/>
      <c r="GG5" s="76"/>
      <c r="GH5" s="76"/>
      <c r="GI5" s="76"/>
      <c r="GJ5" s="76"/>
      <c r="GK5" s="76"/>
      <c r="GL5" s="76"/>
      <c r="GM5" s="76"/>
      <c r="GN5" s="76"/>
      <c r="GO5" s="941"/>
      <c r="GP5" s="941"/>
      <c r="GQ5" s="76"/>
      <c r="GR5" s="76"/>
      <c r="GS5" s="76"/>
      <c r="GT5" s="76"/>
      <c r="GU5" s="76"/>
      <c r="GV5" s="76"/>
      <c r="GW5" s="76"/>
      <c r="GX5" s="76"/>
      <c r="GY5" s="941"/>
      <c r="GZ5" s="941"/>
      <c r="HA5" s="66"/>
    </row>
    <row r="6" spans="1:209" s="68" customFormat="1" ht="13.5" customHeight="1" x14ac:dyDescent="0.2">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70"/>
      <c r="CU6" s="47"/>
      <c r="CV6" s="47"/>
      <c r="CW6" s="47"/>
      <c r="CX6" s="47"/>
      <c r="CY6" s="47"/>
      <c r="CZ6" s="47"/>
      <c r="DA6" s="47"/>
      <c r="DB6" s="47"/>
      <c r="DC6" s="47"/>
      <c r="DD6" s="47"/>
      <c r="DE6" s="47"/>
      <c r="DF6" s="47"/>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row>
    <row r="7" spans="1:209" s="68" customFormat="1" ht="20.100000000000001" customHeight="1" x14ac:dyDescent="0.2">
      <c r="E7" s="1080" t="s">
        <v>15</v>
      </c>
      <c r="F7" s="1081"/>
      <c r="G7" s="1081"/>
      <c r="H7" s="1081"/>
      <c r="I7" s="1081"/>
      <c r="J7" s="1081"/>
      <c r="K7" s="1081"/>
      <c r="L7" s="1081"/>
      <c r="M7" s="1081"/>
      <c r="N7" s="1081"/>
      <c r="O7" s="1081"/>
      <c r="P7" s="1082"/>
      <c r="Q7" s="78"/>
      <c r="R7" s="225"/>
      <c r="S7" s="1070" t="s">
        <v>663</v>
      </c>
      <c r="T7" s="1070"/>
      <c r="U7" s="1070"/>
      <c r="V7" s="1070"/>
      <c r="W7" s="1055" t="s">
        <v>6</v>
      </c>
      <c r="X7" s="1055"/>
      <c r="Y7" s="1055"/>
      <c r="Z7" s="1055"/>
      <c r="AA7" s="1055"/>
      <c r="AB7" s="1055"/>
      <c r="AC7" s="1055"/>
      <c r="AD7" s="1055"/>
      <c r="AE7" s="1055"/>
      <c r="AF7" s="1055"/>
      <c r="AG7" s="1055"/>
      <c r="AH7" s="1055"/>
      <c r="AI7" s="1055"/>
      <c r="AJ7" s="1055"/>
      <c r="AK7" s="1055"/>
      <c r="AL7" s="1055" t="s">
        <v>664</v>
      </c>
      <c r="AM7" s="1055"/>
      <c r="AN7" s="1055"/>
      <c r="AO7" s="1055"/>
      <c r="AP7" s="1055"/>
      <c r="AQ7" s="1055"/>
      <c r="AR7" s="1055"/>
      <c r="AS7" s="1055"/>
      <c r="AT7" s="1055"/>
      <c r="AU7" s="1055"/>
      <c r="AV7" s="1055"/>
      <c r="AW7" s="1055"/>
      <c r="AX7" s="1055"/>
      <c r="AY7" s="1055"/>
      <c r="AZ7" s="1055"/>
      <c r="BA7" s="1055"/>
      <c r="BB7" s="1055"/>
      <c r="BC7" s="70"/>
      <c r="BD7" s="1044">
        <f>'CH Equipe'!$O$99</f>
        <v>15</v>
      </c>
      <c r="BE7" s="1044"/>
      <c r="BF7" s="1044"/>
      <c r="BG7" s="1044"/>
      <c r="BH7" s="1044"/>
      <c r="BI7" s="1044"/>
      <c r="BJ7" s="1044"/>
      <c r="BK7" s="1044"/>
      <c r="BL7" s="1044"/>
      <c r="BM7" s="70"/>
      <c r="BN7" s="1044">
        <f>'CH Equipe'!$O$14</f>
        <v>60</v>
      </c>
      <c r="BO7" s="1044"/>
      <c r="BP7" s="1044"/>
      <c r="BQ7" s="1044"/>
      <c r="BR7" s="1044"/>
      <c r="BS7" s="1044"/>
      <c r="BT7" s="1044"/>
      <c r="BU7" s="1044"/>
      <c r="BV7" s="1044"/>
      <c r="BW7" s="1076">
        <f>BN7/11/4</f>
        <v>1.3636363636363635</v>
      </c>
      <c r="BX7" s="1076"/>
      <c r="BY7" s="1076"/>
      <c r="BZ7" s="1076"/>
      <c r="CA7" s="1076"/>
      <c r="CB7" s="1076"/>
      <c r="CC7" s="1076"/>
      <c r="CD7" s="1076"/>
      <c r="CE7" s="1076"/>
      <c r="CF7" s="70">
        <f>ROUND(BW7,0)</f>
        <v>1</v>
      </c>
      <c r="CG7" s="70"/>
      <c r="CH7" s="923" t="e">
        <f>CF7*#REF!</f>
        <v>#REF!</v>
      </c>
      <c r="CI7" s="913"/>
      <c r="CJ7" s="913"/>
      <c r="CK7" s="913"/>
      <c r="CL7" s="913"/>
      <c r="CM7" s="913"/>
      <c r="CN7" s="913"/>
      <c r="CO7" s="913"/>
      <c r="CP7" s="913"/>
      <c r="CQ7" s="913"/>
      <c r="CR7" s="913"/>
      <c r="CS7" s="914"/>
      <c r="CT7" s="70"/>
      <c r="CU7" s="1041" t="e">
        <f>CH7/60</f>
        <v>#REF!</v>
      </c>
      <c r="CV7" s="1042"/>
      <c r="CW7" s="1042"/>
      <c r="CX7" s="1042"/>
      <c r="CY7" s="1042"/>
      <c r="CZ7" s="1042"/>
      <c r="DA7" s="1042"/>
      <c r="DB7" s="1042"/>
      <c r="DC7" s="1042"/>
      <c r="DD7" s="1042"/>
      <c r="DE7" s="1042"/>
      <c r="DF7" s="1043"/>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70"/>
      <c r="FK7" s="70"/>
      <c r="FL7" s="70"/>
      <c r="FM7" s="70"/>
      <c r="FN7" s="70"/>
      <c r="FO7" s="70"/>
      <c r="FP7" s="70"/>
      <c r="FQ7" s="70"/>
      <c r="FR7" s="70"/>
      <c r="FS7" s="70"/>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row>
    <row r="8" spans="1:209" s="68" customFormat="1" ht="20.100000000000001" customHeight="1" x14ac:dyDescent="0.2">
      <c r="E8" s="1083"/>
      <c r="F8" s="941"/>
      <c r="G8" s="941"/>
      <c r="H8" s="941"/>
      <c r="I8" s="941"/>
      <c r="J8" s="941"/>
      <c r="K8" s="941"/>
      <c r="L8" s="941"/>
      <c r="M8" s="941"/>
      <c r="N8" s="941"/>
      <c r="O8" s="941"/>
      <c r="P8" s="1084"/>
      <c r="Q8" s="81"/>
      <c r="R8" s="225"/>
      <c r="S8" s="1070"/>
      <c r="T8" s="1070"/>
      <c r="U8" s="1070"/>
      <c r="V8" s="1070"/>
      <c r="W8" s="1055"/>
      <c r="X8" s="1055"/>
      <c r="Y8" s="1055"/>
      <c r="Z8" s="1055"/>
      <c r="AA8" s="1055"/>
      <c r="AB8" s="1055"/>
      <c r="AC8" s="1055"/>
      <c r="AD8" s="1055"/>
      <c r="AE8" s="1055"/>
      <c r="AF8" s="1055"/>
      <c r="AG8" s="1055"/>
      <c r="AH8" s="1055"/>
      <c r="AI8" s="1055"/>
      <c r="AJ8" s="1055"/>
      <c r="AK8" s="1055"/>
      <c r="AL8" s="1055" t="s">
        <v>665</v>
      </c>
      <c r="AM8" s="1055"/>
      <c r="AN8" s="1055"/>
      <c r="AO8" s="1055"/>
      <c r="AP8" s="1055"/>
      <c r="AQ8" s="1055"/>
      <c r="AR8" s="1055"/>
      <c r="AS8" s="1055"/>
      <c r="AT8" s="1055"/>
      <c r="AU8" s="1055"/>
      <c r="AV8" s="1055"/>
      <c r="AW8" s="1055"/>
      <c r="AX8" s="1055"/>
      <c r="AY8" s="1055"/>
      <c r="AZ8" s="1055"/>
      <c r="BA8" s="1055"/>
      <c r="BB8" s="1055"/>
      <c r="BC8" s="70"/>
      <c r="BD8" s="1044">
        <f>'CH Equipe'!$X$99</f>
        <v>15</v>
      </c>
      <c r="BE8" s="1044"/>
      <c r="BF8" s="1044"/>
      <c r="BG8" s="1044"/>
      <c r="BH8" s="1044"/>
      <c r="BI8" s="1044"/>
      <c r="BJ8" s="1044"/>
      <c r="BK8" s="1044"/>
      <c r="BL8" s="1044"/>
      <c r="BM8" s="70"/>
      <c r="BN8" s="1044">
        <f>'CH Equipe'!$X$14</f>
        <v>118</v>
      </c>
      <c r="BO8" s="1044"/>
      <c r="BP8" s="1044"/>
      <c r="BQ8" s="1044"/>
      <c r="BR8" s="1044"/>
      <c r="BS8" s="1044"/>
      <c r="BT8" s="1044"/>
      <c r="BU8" s="1044"/>
      <c r="BV8" s="1044"/>
      <c r="BW8" s="1076">
        <f>BN8/11/4</f>
        <v>2.6818181818181817</v>
      </c>
      <c r="BX8" s="1076"/>
      <c r="BY8" s="1076"/>
      <c r="BZ8" s="1076"/>
      <c r="CA8" s="1076"/>
      <c r="CB8" s="1076"/>
      <c r="CC8" s="1076"/>
      <c r="CD8" s="1076"/>
      <c r="CE8" s="1076"/>
      <c r="CF8" s="70">
        <f t="shared" ref="CF8:CF17" si="0">ROUND(BW8,0)</f>
        <v>3</v>
      </c>
      <c r="CG8" s="70"/>
      <c r="CH8" s="963" t="e">
        <f>CF8*#REF!</f>
        <v>#REF!</v>
      </c>
      <c r="CI8" s="924"/>
      <c r="CJ8" s="924"/>
      <c r="CK8" s="924"/>
      <c r="CL8" s="924"/>
      <c r="CM8" s="924"/>
      <c r="CN8" s="924"/>
      <c r="CO8" s="924"/>
      <c r="CP8" s="924"/>
      <c r="CQ8" s="924"/>
      <c r="CR8" s="924"/>
      <c r="CS8" s="962"/>
      <c r="CT8" s="70"/>
      <c r="CU8" s="1067" t="e">
        <f>CH8/60</f>
        <v>#REF!</v>
      </c>
      <c r="CV8" s="1068"/>
      <c r="CW8" s="1068"/>
      <c r="CX8" s="1068"/>
      <c r="CY8" s="1068"/>
      <c r="CZ8" s="1068"/>
      <c r="DA8" s="1068"/>
      <c r="DB8" s="1068"/>
      <c r="DC8" s="1068"/>
      <c r="DD8" s="1068"/>
      <c r="DE8" s="1068"/>
      <c r="DF8" s="1069"/>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70"/>
      <c r="FK8" s="70"/>
      <c r="FL8" s="70"/>
      <c r="FM8" s="70"/>
      <c r="FN8" s="70"/>
      <c r="FO8" s="70"/>
      <c r="FP8" s="70"/>
      <c r="FQ8" s="70"/>
      <c r="FR8" s="70"/>
      <c r="FS8" s="70"/>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row>
    <row r="9" spans="1:209" s="68" customFormat="1" ht="20.100000000000001" customHeight="1" x14ac:dyDescent="0.2">
      <c r="E9" s="1083"/>
      <c r="F9" s="941"/>
      <c r="G9" s="941"/>
      <c r="H9" s="941"/>
      <c r="I9" s="941"/>
      <c r="J9" s="941"/>
      <c r="K9" s="941"/>
      <c r="L9" s="941"/>
      <c r="M9" s="941"/>
      <c r="N9" s="941"/>
      <c r="O9" s="941"/>
      <c r="P9" s="1084"/>
      <c r="Q9" s="81"/>
      <c r="R9" s="225"/>
      <c r="S9" s="1070"/>
      <c r="T9" s="1070"/>
      <c r="U9" s="1070"/>
      <c r="V9" s="1070"/>
      <c r="W9" s="1055" t="s">
        <v>12</v>
      </c>
      <c r="X9" s="1055"/>
      <c r="Y9" s="1055"/>
      <c r="Z9" s="1055"/>
      <c r="AA9" s="1055"/>
      <c r="AB9" s="1055"/>
      <c r="AC9" s="1055"/>
      <c r="AD9" s="1055"/>
      <c r="AE9" s="1055"/>
      <c r="AF9" s="1055"/>
      <c r="AG9" s="1055"/>
      <c r="AH9" s="1055"/>
      <c r="AI9" s="1055"/>
      <c r="AJ9" s="1055"/>
      <c r="AK9" s="1055"/>
      <c r="AL9" s="1055" t="s">
        <v>665</v>
      </c>
      <c r="AM9" s="1055"/>
      <c r="AN9" s="1055"/>
      <c r="AO9" s="1055"/>
      <c r="AP9" s="1055"/>
      <c r="AQ9" s="1055"/>
      <c r="AR9" s="1055"/>
      <c r="AS9" s="1055"/>
      <c r="AT9" s="1055"/>
      <c r="AU9" s="1055"/>
      <c r="AV9" s="1055"/>
      <c r="AW9" s="1055"/>
      <c r="AX9" s="1055"/>
      <c r="AY9" s="1055"/>
      <c r="AZ9" s="1055"/>
      <c r="BA9" s="1055"/>
      <c r="BB9" s="1055"/>
      <c r="BC9" s="70"/>
      <c r="BD9" s="1044">
        <f>BD8</f>
        <v>15</v>
      </c>
      <c r="BE9" s="1044"/>
      <c r="BF9" s="1044"/>
      <c r="BG9" s="1044"/>
      <c r="BH9" s="1044"/>
      <c r="BI9" s="1044"/>
      <c r="BJ9" s="1044"/>
      <c r="BK9" s="1044"/>
      <c r="BL9" s="1044"/>
      <c r="BM9" s="70"/>
      <c r="BN9" s="1044">
        <f>'CH Equipe'!$X$19</f>
        <v>120</v>
      </c>
      <c r="BO9" s="1044"/>
      <c r="BP9" s="1044"/>
      <c r="BQ9" s="1044"/>
      <c r="BR9" s="1044"/>
      <c r="BS9" s="1044"/>
      <c r="BT9" s="1044"/>
      <c r="BU9" s="1044"/>
      <c r="BV9" s="1044"/>
      <c r="BW9" s="1076">
        <f>BN9/11/4</f>
        <v>2.7272727272727271</v>
      </c>
      <c r="BX9" s="1076"/>
      <c r="BY9" s="1076"/>
      <c r="BZ9" s="1076"/>
      <c r="CA9" s="1076"/>
      <c r="CB9" s="1076"/>
      <c r="CC9" s="1076"/>
      <c r="CD9" s="1076"/>
      <c r="CE9" s="1076"/>
      <c r="CF9" s="70">
        <f t="shared" si="0"/>
        <v>3</v>
      </c>
      <c r="CG9" s="70"/>
      <c r="CH9" s="963" t="e">
        <f>CF9*#REF!</f>
        <v>#REF!</v>
      </c>
      <c r="CI9" s="924"/>
      <c r="CJ9" s="924"/>
      <c r="CK9" s="924"/>
      <c r="CL9" s="924"/>
      <c r="CM9" s="924"/>
      <c r="CN9" s="924"/>
      <c r="CO9" s="924"/>
      <c r="CP9" s="924"/>
      <c r="CQ9" s="924"/>
      <c r="CR9" s="924"/>
      <c r="CS9" s="962"/>
      <c r="CT9" s="70"/>
      <c r="CU9" s="1067" t="e">
        <f t="shared" ref="CU9:CU16" si="1">CH9/60</f>
        <v>#REF!</v>
      </c>
      <c r="CV9" s="1068"/>
      <c r="CW9" s="1068"/>
      <c r="CX9" s="1068"/>
      <c r="CY9" s="1068"/>
      <c r="CZ9" s="1068"/>
      <c r="DA9" s="1068"/>
      <c r="DB9" s="1068"/>
      <c r="DC9" s="1068"/>
      <c r="DD9" s="1068"/>
      <c r="DE9" s="1068"/>
      <c r="DF9" s="1069"/>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70"/>
      <c r="FK9" s="70"/>
      <c r="FL9" s="70"/>
      <c r="FM9" s="70"/>
      <c r="FN9" s="70"/>
      <c r="FO9" s="70"/>
      <c r="FP9" s="70"/>
      <c r="FQ9" s="70"/>
      <c r="FR9" s="70"/>
      <c r="FS9" s="70"/>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row>
    <row r="10" spans="1:209" s="68" customFormat="1" ht="20.100000000000001" customHeight="1" x14ac:dyDescent="0.2">
      <c r="E10" s="1083"/>
      <c r="F10" s="941"/>
      <c r="G10" s="941"/>
      <c r="H10" s="941"/>
      <c r="I10" s="941"/>
      <c r="J10" s="941"/>
      <c r="K10" s="941"/>
      <c r="L10" s="941"/>
      <c r="M10" s="941"/>
      <c r="N10" s="941"/>
      <c r="O10" s="941"/>
      <c r="P10" s="1084"/>
      <c r="Q10" s="78"/>
      <c r="R10" s="225"/>
      <c r="S10" s="1070"/>
      <c r="T10" s="1070"/>
      <c r="U10" s="1070"/>
      <c r="V10" s="1070"/>
      <c r="W10" s="1055" t="s">
        <v>673</v>
      </c>
      <c r="X10" s="1055"/>
      <c r="Y10" s="1055"/>
      <c r="Z10" s="1055"/>
      <c r="AA10" s="1055"/>
      <c r="AB10" s="1055"/>
      <c r="AC10" s="1055"/>
      <c r="AD10" s="1055"/>
      <c r="AE10" s="1055"/>
      <c r="AF10" s="1055"/>
      <c r="AG10" s="1055"/>
      <c r="AH10" s="1055"/>
      <c r="AI10" s="1055"/>
      <c r="AJ10" s="1055"/>
      <c r="AK10" s="1055"/>
      <c r="AL10" s="1055" t="s">
        <v>664</v>
      </c>
      <c r="AM10" s="1055"/>
      <c r="AN10" s="1055"/>
      <c r="AO10" s="1055"/>
      <c r="AP10" s="1055"/>
      <c r="AQ10" s="1055"/>
      <c r="AR10" s="1055"/>
      <c r="AS10" s="1055"/>
      <c r="AT10" s="1055"/>
      <c r="AU10" s="1055"/>
      <c r="AV10" s="1055"/>
      <c r="AW10" s="1055"/>
      <c r="AX10" s="1055"/>
      <c r="AY10" s="1055"/>
      <c r="AZ10" s="1055"/>
      <c r="BA10" s="1055"/>
      <c r="BB10" s="1055"/>
      <c r="BC10" s="70"/>
      <c r="BD10" s="1044">
        <f>BD7</f>
        <v>15</v>
      </c>
      <c r="BE10" s="1044"/>
      <c r="BF10" s="1044"/>
      <c r="BG10" s="1044"/>
      <c r="BH10" s="1044"/>
      <c r="BI10" s="1044"/>
      <c r="BJ10" s="1044"/>
      <c r="BK10" s="1044"/>
      <c r="BL10" s="1044"/>
      <c r="BM10" s="70"/>
      <c r="BN10" s="1044">
        <f>'CH Equipe'!O23</f>
        <v>103.76349999999999</v>
      </c>
      <c r="BO10" s="1044"/>
      <c r="BP10" s="1044"/>
      <c r="BQ10" s="1044"/>
      <c r="BR10" s="1044"/>
      <c r="BS10" s="1044"/>
      <c r="BT10" s="1044"/>
      <c r="BU10" s="1044"/>
      <c r="BV10" s="1044"/>
      <c r="BW10" s="1076">
        <f t="shared" ref="BW10:BW17" si="2">BN10/11/4</f>
        <v>2.3582613636363634</v>
      </c>
      <c r="BX10" s="1076"/>
      <c r="BY10" s="1076"/>
      <c r="BZ10" s="1076"/>
      <c r="CA10" s="1076"/>
      <c r="CB10" s="1076"/>
      <c r="CC10" s="1076"/>
      <c r="CD10" s="1076"/>
      <c r="CE10" s="1076"/>
      <c r="CF10" s="70">
        <f t="shared" si="0"/>
        <v>2</v>
      </c>
      <c r="CG10" s="70"/>
      <c r="CH10" s="963" t="e">
        <f>CF10*#REF!</f>
        <v>#REF!</v>
      </c>
      <c r="CI10" s="924"/>
      <c r="CJ10" s="924"/>
      <c r="CK10" s="924"/>
      <c r="CL10" s="924"/>
      <c r="CM10" s="924"/>
      <c r="CN10" s="924"/>
      <c r="CO10" s="924"/>
      <c r="CP10" s="924"/>
      <c r="CQ10" s="924"/>
      <c r="CR10" s="924"/>
      <c r="CS10" s="962"/>
      <c r="CT10" s="70"/>
      <c r="CU10" s="1067" t="e">
        <f t="shared" si="1"/>
        <v>#REF!</v>
      </c>
      <c r="CV10" s="1068"/>
      <c r="CW10" s="1068"/>
      <c r="CX10" s="1068"/>
      <c r="CY10" s="1068"/>
      <c r="CZ10" s="1068"/>
      <c r="DA10" s="1068"/>
      <c r="DB10" s="1068"/>
      <c r="DC10" s="1068"/>
      <c r="DD10" s="1068"/>
      <c r="DE10" s="1068"/>
      <c r="DF10" s="1069"/>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70"/>
      <c r="FK10" s="70"/>
      <c r="FL10" s="70"/>
      <c r="FM10" s="70"/>
      <c r="FN10" s="70"/>
      <c r="FO10" s="70"/>
      <c r="FP10" s="70"/>
      <c r="FQ10" s="70"/>
      <c r="FR10" s="70"/>
      <c r="FS10" s="70"/>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row>
    <row r="11" spans="1:209" s="68" customFormat="1" ht="20.100000000000001" customHeight="1" x14ac:dyDescent="0.2">
      <c r="E11" s="1083"/>
      <c r="F11" s="941"/>
      <c r="G11" s="941"/>
      <c r="H11" s="941"/>
      <c r="I11" s="941"/>
      <c r="J11" s="941"/>
      <c r="K11" s="941"/>
      <c r="L11" s="941"/>
      <c r="M11" s="941"/>
      <c r="N11" s="941"/>
      <c r="O11" s="941"/>
      <c r="P11" s="1084"/>
      <c r="Q11" s="81"/>
      <c r="R11" s="225"/>
      <c r="S11" s="1070"/>
      <c r="T11" s="1070"/>
      <c r="U11" s="1070"/>
      <c r="V11" s="1070"/>
      <c r="W11" s="1055"/>
      <c r="X11" s="1055"/>
      <c r="Y11" s="1055"/>
      <c r="Z11" s="1055"/>
      <c r="AA11" s="1055"/>
      <c r="AB11" s="1055"/>
      <c r="AC11" s="1055"/>
      <c r="AD11" s="1055"/>
      <c r="AE11" s="1055"/>
      <c r="AF11" s="1055"/>
      <c r="AG11" s="1055"/>
      <c r="AH11" s="1055"/>
      <c r="AI11" s="1055"/>
      <c r="AJ11" s="1055"/>
      <c r="AK11" s="1055"/>
      <c r="AL11" s="1055" t="s">
        <v>665</v>
      </c>
      <c r="AM11" s="1055"/>
      <c r="AN11" s="1055"/>
      <c r="AO11" s="1055"/>
      <c r="AP11" s="1055"/>
      <c r="AQ11" s="1055"/>
      <c r="AR11" s="1055"/>
      <c r="AS11" s="1055"/>
      <c r="AT11" s="1055"/>
      <c r="AU11" s="1055"/>
      <c r="AV11" s="1055"/>
      <c r="AW11" s="1055"/>
      <c r="AX11" s="1055"/>
      <c r="AY11" s="1055"/>
      <c r="AZ11" s="1055"/>
      <c r="BA11" s="1055"/>
      <c r="BB11" s="1055"/>
      <c r="BC11" s="70"/>
      <c r="BD11" s="1044">
        <f>BD8</f>
        <v>15</v>
      </c>
      <c r="BE11" s="1044"/>
      <c r="BF11" s="1044"/>
      <c r="BG11" s="1044"/>
      <c r="BH11" s="1044"/>
      <c r="BI11" s="1044"/>
      <c r="BJ11" s="1044"/>
      <c r="BK11" s="1044"/>
      <c r="BL11" s="1044"/>
      <c r="BM11" s="70"/>
      <c r="BN11" s="1044">
        <f>'CH Equipe'!X24+'CH Equipe'!X25</f>
        <v>311.29049999999995</v>
      </c>
      <c r="BO11" s="1044"/>
      <c r="BP11" s="1044"/>
      <c r="BQ11" s="1044"/>
      <c r="BR11" s="1044"/>
      <c r="BS11" s="1044"/>
      <c r="BT11" s="1044"/>
      <c r="BU11" s="1044"/>
      <c r="BV11" s="1044"/>
      <c r="BW11" s="1076">
        <f t="shared" si="2"/>
        <v>7.0747840909090902</v>
      </c>
      <c r="BX11" s="1076"/>
      <c r="BY11" s="1076"/>
      <c r="BZ11" s="1076"/>
      <c r="CA11" s="1076"/>
      <c r="CB11" s="1076"/>
      <c r="CC11" s="1076"/>
      <c r="CD11" s="1076"/>
      <c r="CE11" s="1076"/>
      <c r="CF11" s="70">
        <f t="shared" si="0"/>
        <v>7</v>
      </c>
      <c r="CG11" s="70"/>
      <c r="CH11" s="963" t="e">
        <f>CF11*#REF!</f>
        <v>#REF!</v>
      </c>
      <c r="CI11" s="924"/>
      <c r="CJ11" s="924"/>
      <c r="CK11" s="924"/>
      <c r="CL11" s="924"/>
      <c r="CM11" s="924"/>
      <c r="CN11" s="924"/>
      <c r="CO11" s="924"/>
      <c r="CP11" s="924"/>
      <c r="CQ11" s="924"/>
      <c r="CR11" s="924"/>
      <c r="CS11" s="962"/>
      <c r="CT11" s="70"/>
      <c r="CU11" s="1067" t="e">
        <f t="shared" si="1"/>
        <v>#REF!</v>
      </c>
      <c r="CV11" s="1068"/>
      <c r="CW11" s="1068"/>
      <c r="CX11" s="1068"/>
      <c r="CY11" s="1068"/>
      <c r="CZ11" s="1068"/>
      <c r="DA11" s="1068"/>
      <c r="DB11" s="1068"/>
      <c r="DC11" s="1068"/>
      <c r="DD11" s="1068"/>
      <c r="DE11" s="1068"/>
      <c r="DF11" s="1069"/>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70"/>
      <c r="FK11" s="70"/>
      <c r="FL11" s="70"/>
      <c r="FM11" s="70"/>
      <c r="FN11" s="70"/>
      <c r="FO11" s="70"/>
      <c r="FP11" s="70"/>
      <c r="FQ11" s="70"/>
      <c r="FR11" s="70"/>
      <c r="FS11" s="70"/>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row>
    <row r="12" spans="1:209" s="68" customFormat="1" ht="20.100000000000001" customHeight="1" x14ac:dyDescent="0.2">
      <c r="E12" s="1083"/>
      <c r="F12" s="941"/>
      <c r="G12" s="941"/>
      <c r="H12" s="941"/>
      <c r="I12" s="941"/>
      <c r="J12" s="941"/>
      <c r="K12" s="941"/>
      <c r="L12" s="941"/>
      <c r="M12" s="941"/>
      <c r="N12" s="941"/>
      <c r="O12" s="941"/>
      <c r="P12" s="1084"/>
      <c r="Q12" s="78"/>
      <c r="R12" s="225"/>
      <c r="S12" s="1070"/>
      <c r="T12" s="1070"/>
      <c r="U12" s="1070"/>
      <c r="V12" s="1070"/>
      <c r="W12" s="1055" t="s">
        <v>674</v>
      </c>
      <c r="X12" s="1055"/>
      <c r="Y12" s="1055"/>
      <c r="Z12" s="1055"/>
      <c r="AA12" s="1055"/>
      <c r="AB12" s="1055"/>
      <c r="AC12" s="1055"/>
      <c r="AD12" s="1055"/>
      <c r="AE12" s="1055"/>
      <c r="AF12" s="1055"/>
      <c r="AG12" s="1055"/>
      <c r="AH12" s="1055"/>
      <c r="AI12" s="1055"/>
      <c r="AJ12" s="1055"/>
      <c r="AK12" s="1055"/>
      <c r="AL12" s="1055" t="s">
        <v>664</v>
      </c>
      <c r="AM12" s="1055"/>
      <c r="AN12" s="1055"/>
      <c r="AO12" s="1055"/>
      <c r="AP12" s="1055"/>
      <c r="AQ12" s="1055"/>
      <c r="AR12" s="1055"/>
      <c r="AS12" s="1055"/>
      <c r="AT12" s="1055"/>
      <c r="AU12" s="1055"/>
      <c r="AV12" s="1055"/>
      <c r="AW12" s="1055"/>
      <c r="AX12" s="1055"/>
      <c r="AY12" s="1055"/>
      <c r="AZ12" s="1055"/>
      <c r="BA12" s="1055"/>
      <c r="BB12" s="1055"/>
      <c r="BC12" s="70"/>
      <c r="BD12" s="1044">
        <f>BD7</f>
        <v>15</v>
      </c>
      <c r="BE12" s="1044"/>
      <c r="BF12" s="1044"/>
      <c r="BG12" s="1044"/>
      <c r="BH12" s="1044"/>
      <c r="BI12" s="1044"/>
      <c r="BJ12" s="1044"/>
      <c r="BK12" s="1044"/>
      <c r="BL12" s="1044"/>
      <c r="BM12" s="70"/>
      <c r="BN12" s="1044">
        <f>'CH Equipe'!O28</f>
        <v>283.7</v>
      </c>
      <c r="BO12" s="1044"/>
      <c r="BP12" s="1044"/>
      <c r="BQ12" s="1044"/>
      <c r="BR12" s="1044"/>
      <c r="BS12" s="1044"/>
      <c r="BT12" s="1044"/>
      <c r="BU12" s="1044"/>
      <c r="BV12" s="1044"/>
      <c r="BW12" s="1076">
        <f t="shared" si="2"/>
        <v>6.4477272727272723</v>
      </c>
      <c r="BX12" s="1076"/>
      <c r="BY12" s="1076"/>
      <c r="BZ12" s="1076"/>
      <c r="CA12" s="1076"/>
      <c r="CB12" s="1076"/>
      <c r="CC12" s="1076"/>
      <c r="CD12" s="1076"/>
      <c r="CE12" s="1076"/>
      <c r="CF12" s="70">
        <f t="shared" si="0"/>
        <v>6</v>
      </c>
      <c r="CG12" s="70"/>
      <c r="CH12" s="963" t="e">
        <f>CF12*#REF!</f>
        <v>#REF!</v>
      </c>
      <c r="CI12" s="924"/>
      <c r="CJ12" s="924"/>
      <c r="CK12" s="924"/>
      <c r="CL12" s="924"/>
      <c r="CM12" s="924"/>
      <c r="CN12" s="924"/>
      <c r="CO12" s="924"/>
      <c r="CP12" s="924"/>
      <c r="CQ12" s="924"/>
      <c r="CR12" s="924"/>
      <c r="CS12" s="962"/>
      <c r="CT12" s="70"/>
      <c r="CU12" s="1067" t="e">
        <f t="shared" si="1"/>
        <v>#REF!</v>
      </c>
      <c r="CV12" s="1068"/>
      <c r="CW12" s="1068"/>
      <c r="CX12" s="1068"/>
      <c r="CY12" s="1068"/>
      <c r="CZ12" s="1068"/>
      <c r="DA12" s="1068"/>
      <c r="DB12" s="1068"/>
      <c r="DC12" s="1068"/>
      <c r="DD12" s="1068"/>
      <c r="DE12" s="1068"/>
      <c r="DF12" s="1069"/>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70"/>
      <c r="FK12" s="70"/>
      <c r="FL12" s="70"/>
      <c r="FM12" s="70"/>
      <c r="FN12" s="70"/>
      <c r="FO12" s="70"/>
      <c r="FP12" s="70"/>
      <c r="FQ12" s="70"/>
      <c r="FR12" s="70"/>
      <c r="FS12" s="70"/>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row>
    <row r="13" spans="1:209" s="68" customFormat="1" ht="20.100000000000001" customHeight="1" x14ac:dyDescent="0.2">
      <c r="E13" s="1083"/>
      <c r="F13" s="941"/>
      <c r="G13" s="941"/>
      <c r="H13" s="941"/>
      <c r="I13" s="941"/>
      <c r="J13" s="941"/>
      <c r="K13" s="941"/>
      <c r="L13" s="941"/>
      <c r="M13" s="941"/>
      <c r="N13" s="941"/>
      <c r="O13" s="941"/>
      <c r="P13" s="1084"/>
      <c r="Q13" s="81"/>
      <c r="R13" s="225"/>
      <c r="S13" s="1070"/>
      <c r="T13" s="1070"/>
      <c r="U13" s="1070"/>
      <c r="V13" s="1070"/>
      <c r="W13" s="1055"/>
      <c r="X13" s="1055"/>
      <c r="Y13" s="1055"/>
      <c r="Z13" s="1055"/>
      <c r="AA13" s="1055"/>
      <c r="AB13" s="1055"/>
      <c r="AC13" s="1055"/>
      <c r="AD13" s="1055"/>
      <c r="AE13" s="1055"/>
      <c r="AF13" s="1055"/>
      <c r="AG13" s="1055"/>
      <c r="AH13" s="1055"/>
      <c r="AI13" s="1055"/>
      <c r="AJ13" s="1055"/>
      <c r="AK13" s="1055"/>
      <c r="AL13" s="1055" t="s">
        <v>665</v>
      </c>
      <c r="AM13" s="1055"/>
      <c r="AN13" s="1055"/>
      <c r="AO13" s="1055"/>
      <c r="AP13" s="1055"/>
      <c r="AQ13" s="1055"/>
      <c r="AR13" s="1055"/>
      <c r="AS13" s="1055"/>
      <c r="AT13" s="1055"/>
      <c r="AU13" s="1055"/>
      <c r="AV13" s="1055"/>
      <c r="AW13" s="1055"/>
      <c r="AX13" s="1055"/>
      <c r="AY13" s="1055"/>
      <c r="AZ13" s="1055"/>
      <c r="BA13" s="1055"/>
      <c r="BB13" s="1055"/>
      <c r="BC13" s="70"/>
      <c r="BD13" s="1044">
        <f>BD8</f>
        <v>15</v>
      </c>
      <c r="BE13" s="1044"/>
      <c r="BF13" s="1044"/>
      <c r="BG13" s="1044"/>
      <c r="BH13" s="1044"/>
      <c r="BI13" s="1044"/>
      <c r="BJ13" s="1044"/>
      <c r="BK13" s="1044"/>
      <c r="BL13" s="1044"/>
      <c r="BM13" s="70"/>
      <c r="BN13" s="1044">
        <f>'CH Equipe'!X29+'CH Equipe'!X30</f>
        <v>283.7</v>
      </c>
      <c r="BO13" s="1044"/>
      <c r="BP13" s="1044"/>
      <c r="BQ13" s="1044"/>
      <c r="BR13" s="1044"/>
      <c r="BS13" s="1044"/>
      <c r="BT13" s="1044"/>
      <c r="BU13" s="1044"/>
      <c r="BV13" s="1044"/>
      <c r="BW13" s="1076">
        <f t="shared" si="2"/>
        <v>6.4477272727272723</v>
      </c>
      <c r="BX13" s="1076"/>
      <c r="BY13" s="1076"/>
      <c r="BZ13" s="1076"/>
      <c r="CA13" s="1076"/>
      <c r="CB13" s="1076"/>
      <c r="CC13" s="1076"/>
      <c r="CD13" s="1076"/>
      <c r="CE13" s="1076"/>
      <c r="CF13" s="70">
        <f t="shared" si="0"/>
        <v>6</v>
      </c>
      <c r="CG13" s="70"/>
      <c r="CH13" s="963" t="e">
        <f>CF13*#REF!</f>
        <v>#REF!</v>
      </c>
      <c r="CI13" s="924"/>
      <c r="CJ13" s="924"/>
      <c r="CK13" s="924"/>
      <c r="CL13" s="924"/>
      <c r="CM13" s="924"/>
      <c r="CN13" s="924"/>
      <c r="CO13" s="924"/>
      <c r="CP13" s="924"/>
      <c r="CQ13" s="924"/>
      <c r="CR13" s="924"/>
      <c r="CS13" s="962"/>
      <c r="CT13" s="70"/>
      <c r="CU13" s="1067" t="e">
        <f t="shared" si="1"/>
        <v>#REF!</v>
      </c>
      <c r="CV13" s="1068"/>
      <c r="CW13" s="1068"/>
      <c r="CX13" s="1068"/>
      <c r="CY13" s="1068"/>
      <c r="CZ13" s="1068"/>
      <c r="DA13" s="1068"/>
      <c r="DB13" s="1068"/>
      <c r="DC13" s="1068"/>
      <c r="DD13" s="1068"/>
      <c r="DE13" s="1068"/>
      <c r="DF13" s="1069"/>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70"/>
      <c r="FK13" s="70"/>
      <c r="FL13" s="70"/>
      <c r="FM13" s="70"/>
      <c r="FN13" s="70"/>
      <c r="FO13" s="70"/>
      <c r="FP13" s="70"/>
      <c r="FQ13" s="70"/>
      <c r="FR13" s="70"/>
      <c r="FS13" s="70"/>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row>
    <row r="14" spans="1:209" s="68" customFormat="1" ht="20.100000000000001" customHeight="1" x14ac:dyDescent="0.2">
      <c r="E14" s="1083"/>
      <c r="F14" s="941"/>
      <c r="G14" s="941"/>
      <c r="H14" s="941"/>
      <c r="I14" s="941"/>
      <c r="J14" s="941"/>
      <c r="K14" s="941"/>
      <c r="L14" s="941"/>
      <c r="M14" s="941"/>
      <c r="N14" s="941"/>
      <c r="O14" s="941"/>
      <c r="P14" s="1084"/>
      <c r="Q14" s="81"/>
      <c r="R14" s="225"/>
      <c r="S14" s="1070"/>
      <c r="T14" s="1070"/>
      <c r="U14" s="1070"/>
      <c r="V14" s="1070"/>
      <c r="W14" s="1055" t="s">
        <v>705</v>
      </c>
      <c r="X14" s="1055"/>
      <c r="Y14" s="1055"/>
      <c r="Z14" s="1055"/>
      <c r="AA14" s="1055"/>
      <c r="AB14" s="1055"/>
      <c r="AC14" s="1055"/>
      <c r="AD14" s="1055"/>
      <c r="AE14" s="1055"/>
      <c r="AF14" s="1055"/>
      <c r="AG14" s="1055"/>
      <c r="AH14" s="1055"/>
      <c r="AI14" s="1055"/>
      <c r="AJ14" s="1055"/>
      <c r="AK14" s="1055"/>
      <c r="AL14" s="1055" t="s">
        <v>664</v>
      </c>
      <c r="AM14" s="1055"/>
      <c r="AN14" s="1055"/>
      <c r="AO14" s="1055"/>
      <c r="AP14" s="1055"/>
      <c r="AQ14" s="1055"/>
      <c r="AR14" s="1055"/>
      <c r="AS14" s="1055"/>
      <c r="AT14" s="1055"/>
      <c r="AU14" s="1055"/>
      <c r="AV14" s="1055"/>
      <c r="AW14" s="1055"/>
      <c r="AX14" s="1055"/>
      <c r="AY14" s="1055"/>
      <c r="AZ14" s="1055"/>
      <c r="BA14" s="1055"/>
      <c r="BB14" s="1055"/>
      <c r="BC14" s="70"/>
      <c r="BD14" s="1044">
        <f>BD7</f>
        <v>15</v>
      </c>
      <c r="BE14" s="1044"/>
      <c r="BF14" s="1044"/>
      <c r="BG14" s="1044"/>
      <c r="BH14" s="1044"/>
      <c r="BI14" s="1044"/>
      <c r="BJ14" s="1044"/>
      <c r="BK14" s="1044"/>
      <c r="BL14" s="1044"/>
      <c r="BM14" s="70"/>
      <c r="BN14" s="1044">
        <f>'CH Equipe'!O39</f>
        <v>198.198025</v>
      </c>
      <c r="BO14" s="1044"/>
      <c r="BP14" s="1044"/>
      <c r="BQ14" s="1044"/>
      <c r="BR14" s="1044"/>
      <c r="BS14" s="1044"/>
      <c r="BT14" s="1044"/>
      <c r="BU14" s="1044"/>
      <c r="BV14" s="1044"/>
      <c r="BW14" s="1076">
        <f t="shared" si="2"/>
        <v>4.5045005681818182</v>
      </c>
      <c r="BX14" s="1076"/>
      <c r="BY14" s="1076"/>
      <c r="BZ14" s="1076"/>
      <c r="CA14" s="1076"/>
      <c r="CB14" s="1076"/>
      <c r="CC14" s="1076"/>
      <c r="CD14" s="1076"/>
      <c r="CE14" s="1076"/>
      <c r="CF14" s="70">
        <f t="shared" si="0"/>
        <v>5</v>
      </c>
      <c r="CG14" s="70"/>
      <c r="CH14" s="963" t="e">
        <f>CF14*#REF!</f>
        <v>#REF!</v>
      </c>
      <c r="CI14" s="924"/>
      <c r="CJ14" s="924"/>
      <c r="CK14" s="924"/>
      <c r="CL14" s="924"/>
      <c r="CM14" s="924"/>
      <c r="CN14" s="924"/>
      <c r="CO14" s="924"/>
      <c r="CP14" s="924"/>
      <c r="CQ14" s="924"/>
      <c r="CR14" s="924"/>
      <c r="CS14" s="962"/>
      <c r="CT14" s="70"/>
      <c r="CU14" s="1067" t="e">
        <f t="shared" si="1"/>
        <v>#REF!</v>
      </c>
      <c r="CV14" s="1068"/>
      <c r="CW14" s="1068"/>
      <c r="CX14" s="1068"/>
      <c r="CY14" s="1068"/>
      <c r="CZ14" s="1068"/>
      <c r="DA14" s="1068"/>
      <c r="DB14" s="1068"/>
      <c r="DC14" s="1068"/>
      <c r="DD14" s="1068"/>
      <c r="DE14" s="1068"/>
      <c r="DF14" s="1069"/>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70"/>
      <c r="FK14" s="70"/>
      <c r="FL14" s="70"/>
      <c r="FM14" s="70"/>
      <c r="FN14" s="70"/>
      <c r="FO14" s="70"/>
      <c r="FP14" s="70"/>
      <c r="FQ14" s="70"/>
      <c r="FR14" s="70"/>
      <c r="FS14" s="70"/>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row>
    <row r="15" spans="1:209" s="68" customFormat="1" ht="20.100000000000001" customHeight="1" x14ac:dyDescent="0.2">
      <c r="E15" s="1083"/>
      <c r="F15" s="941"/>
      <c r="G15" s="941"/>
      <c r="H15" s="941"/>
      <c r="I15" s="941"/>
      <c r="J15" s="941"/>
      <c r="K15" s="941"/>
      <c r="L15" s="941"/>
      <c r="M15" s="941"/>
      <c r="N15" s="941"/>
      <c r="O15" s="941"/>
      <c r="P15" s="1084"/>
      <c r="Q15" s="81"/>
      <c r="R15" s="225"/>
      <c r="S15" s="1070"/>
      <c r="T15" s="1070"/>
      <c r="U15" s="1070"/>
      <c r="V15" s="1070"/>
      <c r="W15" s="1055"/>
      <c r="X15" s="1055"/>
      <c r="Y15" s="1055"/>
      <c r="Z15" s="1055"/>
      <c r="AA15" s="1055"/>
      <c r="AB15" s="1055"/>
      <c r="AC15" s="1055"/>
      <c r="AD15" s="1055"/>
      <c r="AE15" s="1055"/>
      <c r="AF15" s="1055"/>
      <c r="AG15" s="1055"/>
      <c r="AH15" s="1055"/>
      <c r="AI15" s="1055"/>
      <c r="AJ15" s="1055"/>
      <c r="AK15" s="1055"/>
      <c r="AL15" s="1055" t="s">
        <v>665</v>
      </c>
      <c r="AM15" s="1055"/>
      <c r="AN15" s="1055"/>
      <c r="AO15" s="1055"/>
      <c r="AP15" s="1055"/>
      <c r="AQ15" s="1055"/>
      <c r="AR15" s="1055"/>
      <c r="AS15" s="1055"/>
      <c r="AT15" s="1055"/>
      <c r="AU15" s="1055"/>
      <c r="AV15" s="1055"/>
      <c r="AW15" s="1055"/>
      <c r="AX15" s="1055"/>
      <c r="AY15" s="1055"/>
      <c r="AZ15" s="1055"/>
      <c r="BA15" s="1055"/>
      <c r="BB15" s="1055"/>
      <c r="BC15" s="70"/>
      <c r="BD15" s="1044">
        <f>BD8</f>
        <v>15</v>
      </c>
      <c r="BE15" s="1044"/>
      <c r="BF15" s="1044"/>
      <c r="BG15" s="1044"/>
      <c r="BH15" s="1044"/>
      <c r="BI15" s="1044"/>
      <c r="BJ15" s="1044"/>
      <c r="BK15" s="1044"/>
      <c r="BL15" s="1044"/>
      <c r="BM15" s="70"/>
      <c r="BN15" s="1044">
        <f>'CH Equipe'!X39</f>
        <v>367.13572499999998</v>
      </c>
      <c r="BO15" s="1044"/>
      <c r="BP15" s="1044"/>
      <c r="BQ15" s="1044"/>
      <c r="BR15" s="1044"/>
      <c r="BS15" s="1044"/>
      <c r="BT15" s="1044"/>
      <c r="BU15" s="1044"/>
      <c r="BV15" s="1044"/>
      <c r="BW15" s="1076">
        <f t="shared" si="2"/>
        <v>8.3439937499999992</v>
      </c>
      <c r="BX15" s="1076"/>
      <c r="BY15" s="1076"/>
      <c r="BZ15" s="1076"/>
      <c r="CA15" s="1076"/>
      <c r="CB15" s="1076"/>
      <c r="CC15" s="1076"/>
      <c r="CD15" s="1076"/>
      <c r="CE15" s="1076"/>
      <c r="CF15" s="70">
        <f t="shared" si="0"/>
        <v>8</v>
      </c>
      <c r="CG15" s="70"/>
      <c r="CH15" s="963" t="e">
        <f>CF15*#REF!</f>
        <v>#REF!</v>
      </c>
      <c r="CI15" s="924"/>
      <c r="CJ15" s="924"/>
      <c r="CK15" s="924"/>
      <c r="CL15" s="924"/>
      <c r="CM15" s="924"/>
      <c r="CN15" s="924"/>
      <c r="CO15" s="924"/>
      <c r="CP15" s="924"/>
      <c r="CQ15" s="924"/>
      <c r="CR15" s="924"/>
      <c r="CS15" s="962"/>
      <c r="CT15" s="70"/>
      <c r="CU15" s="1067" t="e">
        <f t="shared" si="1"/>
        <v>#REF!</v>
      </c>
      <c r="CV15" s="1068"/>
      <c r="CW15" s="1068"/>
      <c r="CX15" s="1068"/>
      <c r="CY15" s="1068"/>
      <c r="CZ15" s="1068"/>
      <c r="DA15" s="1068"/>
      <c r="DB15" s="1068"/>
      <c r="DC15" s="1068"/>
      <c r="DD15" s="1068"/>
      <c r="DE15" s="1068"/>
      <c r="DF15" s="1069"/>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70"/>
      <c r="FK15" s="70"/>
      <c r="FL15" s="70"/>
      <c r="FM15" s="70"/>
      <c r="FN15" s="70"/>
      <c r="FO15" s="70"/>
      <c r="FP15" s="70"/>
      <c r="FQ15" s="70"/>
      <c r="FR15" s="70"/>
      <c r="FS15" s="70"/>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row>
    <row r="16" spans="1:209" s="68" customFormat="1" ht="20.100000000000001" customHeight="1" x14ac:dyDescent="0.2">
      <c r="E16" s="1083"/>
      <c r="F16" s="941"/>
      <c r="G16" s="941"/>
      <c r="H16" s="941"/>
      <c r="I16" s="941"/>
      <c r="J16" s="941"/>
      <c r="K16" s="941"/>
      <c r="L16" s="941"/>
      <c r="M16" s="941"/>
      <c r="N16" s="941"/>
      <c r="O16" s="941"/>
      <c r="P16" s="1084"/>
      <c r="Q16" s="81"/>
      <c r="R16" s="225"/>
      <c r="S16" s="1070"/>
      <c r="T16" s="1070"/>
      <c r="U16" s="1070"/>
      <c r="V16" s="1070"/>
      <c r="W16" s="1055" t="s">
        <v>62</v>
      </c>
      <c r="X16" s="1055"/>
      <c r="Y16" s="1055"/>
      <c r="Z16" s="1055"/>
      <c r="AA16" s="1055"/>
      <c r="AB16" s="1055"/>
      <c r="AC16" s="1055"/>
      <c r="AD16" s="1055"/>
      <c r="AE16" s="1055"/>
      <c r="AF16" s="1055"/>
      <c r="AG16" s="1055"/>
      <c r="AH16" s="1055"/>
      <c r="AI16" s="1055"/>
      <c r="AJ16" s="1055"/>
      <c r="AK16" s="1055"/>
      <c r="AL16" s="1055" t="s">
        <v>664</v>
      </c>
      <c r="AM16" s="1055"/>
      <c r="AN16" s="1055"/>
      <c r="AO16" s="1055"/>
      <c r="AP16" s="1055"/>
      <c r="AQ16" s="1055"/>
      <c r="AR16" s="1055"/>
      <c r="AS16" s="1055"/>
      <c r="AT16" s="1055"/>
      <c r="AU16" s="1055"/>
      <c r="AV16" s="1055"/>
      <c r="AW16" s="1055"/>
      <c r="AX16" s="1055"/>
      <c r="AY16" s="1055"/>
      <c r="AZ16" s="1055"/>
      <c r="BA16" s="1055"/>
      <c r="BB16" s="1055"/>
      <c r="BC16" s="70"/>
      <c r="BD16" s="1044">
        <f t="shared" ref="BD16:BD23" si="3">BD7</f>
        <v>15</v>
      </c>
      <c r="BE16" s="1044"/>
      <c r="BF16" s="1044"/>
      <c r="BG16" s="1044"/>
      <c r="BH16" s="1044"/>
      <c r="BI16" s="1044"/>
      <c r="BJ16" s="1044"/>
      <c r="BK16" s="1044"/>
      <c r="BL16" s="1044"/>
      <c r="BM16" s="70"/>
      <c r="BN16" s="1044">
        <f>'CH Equipe'!O49</f>
        <v>104.22570000000002</v>
      </c>
      <c r="BO16" s="1044"/>
      <c r="BP16" s="1044"/>
      <c r="BQ16" s="1044"/>
      <c r="BR16" s="1044"/>
      <c r="BS16" s="1044"/>
      <c r="BT16" s="1044"/>
      <c r="BU16" s="1044"/>
      <c r="BV16" s="1044"/>
      <c r="BW16" s="1076">
        <f t="shared" si="2"/>
        <v>2.3687659090909094</v>
      </c>
      <c r="BX16" s="1076"/>
      <c r="BY16" s="1076"/>
      <c r="BZ16" s="1076"/>
      <c r="CA16" s="1076"/>
      <c r="CB16" s="1076"/>
      <c r="CC16" s="1076"/>
      <c r="CD16" s="1076"/>
      <c r="CE16" s="1076"/>
      <c r="CF16" s="70">
        <f t="shared" si="0"/>
        <v>2</v>
      </c>
      <c r="CG16" s="70"/>
      <c r="CH16" s="963" t="e">
        <f>CF16*#REF!</f>
        <v>#REF!</v>
      </c>
      <c r="CI16" s="924"/>
      <c r="CJ16" s="924"/>
      <c r="CK16" s="924"/>
      <c r="CL16" s="924"/>
      <c r="CM16" s="924"/>
      <c r="CN16" s="924"/>
      <c r="CO16" s="924"/>
      <c r="CP16" s="924"/>
      <c r="CQ16" s="924"/>
      <c r="CR16" s="924"/>
      <c r="CS16" s="962"/>
      <c r="CT16" s="70"/>
      <c r="CU16" s="1067" t="e">
        <f t="shared" si="1"/>
        <v>#REF!</v>
      </c>
      <c r="CV16" s="1068"/>
      <c r="CW16" s="1068"/>
      <c r="CX16" s="1068"/>
      <c r="CY16" s="1068"/>
      <c r="CZ16" s="1068"/>
      <c r="DA16" s="1068"/>
      <c r="DB16" s="1068"/>
      <c r="DC16" s="1068"/>
      <c r="DD16" s="1068"/>
      <c r="DE16" s="1068"/>
      <c r="DF16" s="1069"/>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70"/>
      <c r="FK16" s="70"/>
      <c r="FL16" s="70"/>
      <c r="FM16" s="70"/>
      <c r="FN16" s="70"/>
      <c r="FO16" s="70"/>
      <c r="FP16" s="70"/>
      <c r="FQ16" s="70"/>
      <c r="FR16" s="70"/>
      <c r="FS16" s="70"/>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row>
    <row r="17" spans="5:208" s="68" customFormat="1" ht="20.100000000000001" customHeight="1" x14ac:dyDescent="0.2">
      <c r="E17" s="1083"/>
      <c r="F17" s="941"/>
      <c r="G17" s="941"/>
      <c r="H17" s="941"/>
      <c r="I17" s="941"/>
      <c r="J17" s="941"/>
      <c r="K17" s="941"/>
      <c r="L17" s="941"/>
      <c r="M17" s="941"/>
      <c r="N17" s="941"/>
      <c r="O17" s="941"/>
      <c r="P17" s="1084"/>
      <c r="Q17" s="81"/>
      <c r="R17" s="225"/>
      <c r="S17" s="1070"/>
      <c r="T17" s="1070"/>
      <c r="U17" s="1070"/>
      <c r="V17" s="1070"/>
      <c r="W17" s="1055"/>
      <c r="X17" s="1055"/>
      <c r="Y17" s="1055"/>
      <c r="Z17" s="1055"/>
      <c r="AA17" s="1055"/>
      <c r="AB17" s="1055"/>
      <c r="AC17" s="1055"/>
      <c r="AD17" s="1055"/>
      <c r="AE17" s="1055"/>
      <c r="AF17" s="1055"/>
      <c r="AG17" s="1055"/>
      <c r="AH17" s="1055"/>
      <c r="AI17" s="1055"/>
      <c r="AJ17" s="1055"/>
      <c r="AK17" s="1055"/>
      <c r="AL17" s="1055" t="s">
        <v>665</v>
      </c>
      <c r="AM17" s="1055"/>
      <c r="AN17" s="1055"/>
      <c r="AO17" s="1055"/>
      <c r="AP17" s="1055"/>
      <c r="AQ17" s="1055"/>
      <c r="AR17" s="1055"/>
      <c r="AS17" s="1055"/>
      <c r="AT17" s="1055"/>
      <c r="AU17" s="1055"/>
      <c r="AV17" s="1055"/>
      <c r="AW17" s="1055"/>
      <c r="AX17" s="1055"/>
      <c r="AY17" s="1055"/>
      <c r="AZ17" s="1055"/>
      <c r="BA17" s="1055"/>
      <c r="BB17" s="1055"/>
      <c r="BC17" s="70"/>
      <c r="BD17" s="1044">
        <f t="shared" si="3"/>
        <v>15</v>
      </c>
      <c r="BE17" s="1044"/>
      <c r="BF17" s="1044"/>
      <c r="BG17" s="1044"/>
      <c r="BH17" s="1044"/>
      <c r="BI17" s="1044"/>
      <c r="BJ17" s="1044"/>
      <c r="BK17" s="1044"/>
      <c r="BL17" s="1044"/>
      <c r="BM17" s="70"/>
      <c r="BN17" s="1044">
        <f>'CH Equipe'!X49</f>
        <v>146.59590000000003</v>
      </c>
      <c r="BO17" s="1044"/>
      <c r="BP17" s="1044"/>
      <c r="BQ17" s="1044"/>
      <c r="BR17" s="1044"/>
      <c r="BS17" s="1044"/>
      <c r="BT17" s="1044"/>
      <c r="BU17" s="1044"/>
      <c r="BV17" s="1044"/>
      <c r="BW17" s="1076">
        <f t="shared" si="2"/>
        <v>3.3317250000000005</v>
      </c>
      <c r="BX17" s="1076"/>
      <c r="BY17" s="1076"/>
      <c r="BZ17" s="1076"/>
      <c r="CA17" s="1076"/>
      <c r="CB17" s="1076"/>
      <c r="CC17" s="1076"/>
      <c r="CD17" s="1076"/>
      <c r="CE17" s="1076"/>
      <c r="CF17" s="70">
        <f t="shared" si="0"/>
        <v>3</v>
      </c>
      <c r="CG17" s="70"/>
      <c r="CH17" s="919" t="e">
        <f>CF17*#REF!</f>
        <v>#REF!</v>
      </c>
      <c r="CI17" s="920"/>
      <c r="CJ17" s="920"/>
      <c r="CK17" s="920"/>
      <c r="CL17" s="920"/>
      <c r="CM17" s="920"/>
      <c r="CN17" s="920"/>
      <c r="CO17" s="920"/>
      <c r="CP17" s="920"/>
      <c r="CQ17" s="920"/>
      <c r="CR17" s="920"/>
      <c r="CS17" s="925"/>
      <c r="CT17" s="70"/>
      <c r="CU17" s="1077" t="e">
        <f>CH17/60</f>
        <v>#REF!</v>
      </c>
      <c r="CV17" s="1078"/>
      <c r="CW17" s="1078"/>
      <c r="CX17" s="1078"/>
      <c r="CY17" s="1078"/>
      <c r="CZ17" s="1078"/>
      <c r="DA17" s="1078"/>
      <c r="DB17" s="1078"/>
      <c r="DC17" s="1078"/>
      <c r="DD17" s="1078"/>
      <c r="DE17" s="1078"/>
      <c r="DF17" s="1079"/>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70"/>
      <c r="FK17" s="70"/>
      <c r="FL17" s="70"/>
      <c r="FM17" s="70"/>
      <c r="FN17" s="70"/>
      <c r="FO17" s="70"/>
      <c r="FP17" s="70"/>
      <c r="FQ17" s="70"/>
      <c r="FR17" s="70"/>
      <c r="FS17" s="70"/>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row>
    <row r="18" spans="5:208" s="68" customFormat="1" ht="20.100000000000001" customHeight="1" x14ac:dyDescent="0.2">
      <c r="E18" s="1083"/>
      <c r="F18" s="941"/>
      <c r="G18" s="941"/>
      <c r="H18" s="941"/>
      <c r="I18" s="941"/>
      <c r="J18" s="941"/>
      <c r="K18" s="941"/>
      <c r="L18" s="941"/>
      <c r="M18" s="941"/>
      <c r="N18" s="941"/>
      <c r="O18" s="941"/>
      <c r="P18" s="1084"/>
      <c r="Q18" s="81"/>
      <c r="R18" s="225"/>
      <c r="S18" s="1070"/>
      <c r="T18" s="1070"/>
      <c r="U18" s="1070"/>
      <c r="V18" s="1070"/>
      <c r="W18" s="1055" t="s">
        <v>46</v>
      </c>
      <c r="X18" s="1055"/>
      <c r="Y18" s="1055"/>
      <c r="Z18" s="1055"/>
      <c r="AA18" s="1055"/>
      <c r="AB18" s="1055"/>
      <c r="AC18" s="1055"/>
      <c r="AD18" s="1055"/>
      <c r="AE18" s="1055"/>
      <c r="AF18" s="1055"/>
      <c r="AG18" s="1055"/>
      <c r="AH18" s="1055"/>
      <c r="AI18" s="1055"/>
      <c r="AJ18" s="1055"/>
      <c r="AK18" s="1055"/>
      <c r="AL18" s="1055" t="s">
        <v>664</v>
      </c>
      <c r="AM18" s="1055"/>
      <c r="AN18" s="1055"/>
      <c r="AO18" s="1055"/>
      <c r="AP18" s="1055"/>
      <c r="AQ18" s="1055"/>
      <c r="AR18" s="1055"/>
      <c r="AS18" s="1055"/>
      <c r="AT18" s="1055"/>
      <c r="AU18" s="1055"/>
      <c r="AV18" s="1055"/>
      <c r="AW18" s="1055"/>
      <c r="AX18" s="1055"/>
      <c r="AY18" s="1055"/>
      <c r="AZ18" s="1055"/>
      <c r="BA18" s="1055"/>
      <c r="BB18" s="1055"/>
      <c r="BC18" s="70"/>
      <c r="BD18" s="1044">
        <f t="shared" si="3"/>
        <v>15</v>
      </c>
      <c r="BE18" s="1044"/>
      <c r="BF18" s="1044"/>
      <c r="BG18" s="1044"/>
      <c r="BH18" s="1044"/>
      <c r="BI18" s="1044"/>
      <c r="BJ18" s="1044"/>
      <c r="BK18" s="1044"/>
      <c r="BL18" s="1044"/>
      <c r="BM18" s="70"/>
      <c r="BN18" s="1044">
        <f>'CH Equipe'!O61</f>
        <v>67.554400000000001</v>
      </c>
      <c r="BO18" s="1044"/>
      <c r="BP18" s="1044"/>
      <c r="BQ18" s="1044"/>
      <c r="BR18" s="1044"/>
      <c r="BS18" s="1044"/>
      <c r="BT18" s="1044"/>
      <c r="BU18" s="1044"/>
      <c r="BV18" s="1044"/>
      <c r="BW18" s="1076">
        <f t="shared" ref="BW18:BW23" si="4">BN18/11/4</f>
        <v>1.5353272727272727</v>
      </c>
      <c r="BX18" s="1076"/>
      <c r="BY18" s="1076"/>
      <c r="BZ18" s="1076"/>
      <c r="CA18" s="1076"/>
      <c r="CB18" s="1076"/>
      <c r="CC18" s="1076"/>
      <c r="CD18" s="1076"/>
      <c r="CE18" s="1076"/>
      <c r="CF18" s="70"/>
      <c r="CG18" s="70"/>
      <c r="CH18" s="70"/>
      <c r="CI18" s="70"/>
      <c r="CJ18" s="70"/>
      <c r="CK18" s="70"/>
      <c r="CL18" s="70"/>
      <c r="CM18" s="70"/>
      <c r="CN18" s="70"/>
      <c r="CO18" s="70"/>
      <c r="CP18" s="70"/>
      <c r="CQ18" s="70"/>
      <c r="CR18" s="70"/>
      <c r="CS18" s="70"/>
      <c r="CT18" s="70"/>
      <c r="CU18" s="117"/>
      <c r="CV18" s="117"/>
      <c r="CW18" s="117"/>
      <c r="CX18" s="117"/>
      <c r="CY18" s="117"/>
      <c r="CZ18" s="117"/>
      <c r="DA18" s="117"/>
      <c r="DB18" s="117"/>
      <c r="DC18" s="117"/>
      <c r="DD18" s="117"/>
      <c r="DE18" s="117"/>
      <c r="DF18" s="117"/>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70"/>
      <c r="FK18" s="70"/>
      <c r="FL18" s="70"/>
      <c r="FM18" s="70"/>
      <c r="FN18" s="70"/>
      <c r="FO18" s="70"/>
      <c r="FP18" s="70"/>
      <c r="FQ18" s="70"/>
      <c r="FR18" s="70"/>
      <c r="FS18" s="70"/>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row>
    <row r="19" spans="5:208" s="68" customFormat="1" ht="20.100000000000001" customHeight="1" x14ac:dyDescent="0.2">
      <c r="E19" s="1083"/>
      <c r="F19" s="941"/>
      <c r="G19" s="941"/>
      <c r="H19" s="941"/>
      <c r="I19" s="941"/>
      <c r="J19" s="941"/>
      <c r="K19" s="941"/>
      <c r="L19" s="941"/>
      <c r="M19" s="941"/>
      <c r="N19" s="941"/>
      <c r="O19" s="941"/>
      <c r="P19" s="1084"/>
      <c r="Q19" s="81"/>
      <c r="R19" s="225"/>
      <c r="S19" s="1070"/>
      <c r="T19" s="1070"/>
      <c r="U19" s="1070"/>
      <c r="V19" s="1070"/>
      <c r="W19" s="1055"/>
      <c r="X19" s="1055"/>
      <c r="Y19" s="1055"/>
      <c r="Z19" s="1055"/>
      <c r="AA19" s="1055"/>
      <c r="AB19" s="1055"/>
      <c r="AC19" s="1055"/>
      <c r="AD19" s="1055"/>
      <c r="AE19" s="1055"/>
      <c r="AF19" s="1055"/>
      <c r="AG19" s="1055"/>
      <c r="AH19" s="1055"/>
      <c r="AI19" s="1055"/>
      <c r="AJ19" s="1055"/>
      <c r="AK19" s="1055"/>
      <c r="AL19" s="1055" t="s">
        <v>665</v>
      </c>
      <c r="AM19" s="1055"/>
      <c r="AN19" s="1055"/>
      <c r="AO19" s="1055"/>
      <c r="AP19" s="1055"/>
      <c r="AQ19" s="1055"/>
      <c r="AR19" s="1055"/>
      <c r="AS19" s="1055"/>
      <c r="AT19" s="1055"/>
      <c r="AU19" s="1055"/>
      <c r="AV19" s="1055"/>
      <c r="AW19" s="1055"/>
      <c r="AX19" s="1055"/>
      <c r="AY19" s="1055"/>
      <c r="AZ19" s="1055"/>
      <c r="BA19" s="1055"/>
      <c r="BB19" s="1055"/>
      <c r="BC19" s="70"/>
      <c r="BD19" s="1044">
        <f t="shared" si="3"/>
        <v>15</v>
      </c>
      <c r="BE19" s="1044"/>
      <c r="BF19" s="1044"/>
      <c r="BG19" s="1044"/>
      <c r="BH19" s="1044"/>
      <c r="BI19" s="1044"/>
      <c r="BJ19" s="1044"/>
      <c r="BK19" s="1044"/>
      <c r="BL19" s="1044"/>
      <c r="BM19" s="70"/>
      <c r="BN19" s="1044">
        <f>'CH Equipe'!X61</f>
        <v>67.554400000000001</v>
      </c>
      <c r="BO19" s="1044"/>
      <c r="BP19" s="1044"/>
      <c r="BQ19" s="1044"/>
      <c r="BR19" s="1044"/>
      <c r="BS19" s="1044"/>
      <c r="BT19" s="1044"/>
      <c r="BU19" s="1044"/>
      <c r="BV19" s="1044"/>
      <c r="BW19" s="1076">
        <f t="shared" si="4"/>
        <v>1.5353272727272727</v>
      </c>
      <c r="BX19" s="1076"/>
      <c r="BY19" s="1076"/>
      <c r="BZ19" s="1076"/>
      <c r="CA19" s="1076"/>
      <c r="CB19" s="1076"/>
      <c r="CC19" s="1076"/>
      <c r="CD19" s="1076"/>
      <c r="CE19" s="1076"/>
      <c r="CF19" s="70"/>
      <c r="CG19" s="70"/>
      <c r="CH19" s="70"/>
      <c r="CI19" s="70"/>
      <c r="CJ19" s="70"/>
      <c r="CK19" s="70"/>
      <c r="CL19" s="70"/>
      <c r="CM19" s="70"/>
      <c r="CN19" s="70"/>
      <c r="CO19" s="70"/>
      <c r="CP19" s="70"/>
      <c r="CQ19" s="70"/>
      <c r="CR19" s="70"/>
      <c r="CS19" s="70"/>
      <c r="CT19" s="70"/>
      <c r="CU19" s="117"/>
      <c r="CV19" s="117"/>
      <c r="CW19" s="117"/>
      <c r="CX19" s="117"/>
      <c r="CY19" s="117"/>
      <c r="CZ19" s="117"/>
      <c r="DA19" s="117"/>
      <c r="DB19" s="117"/>
      <c r="DC19" s="117"/>
      <c r="DD19" s="117"/>
      <c r="DE19" s="117"/>
      <c r="DF19" s="117"/>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70"/>
      <c r="FK19" s="70"/>
      <c r="FL19" s="70"/>
      <c r="FM19" s="70"/>
      <c r="FN19" s="70"/>
      <c r="FO19" s="70"/>
      <c r="FP19" s="70"/>
      <c r="FQ19" s="70"/>
      <c r="FR19" s="70"/>
      <c r="FS19" s="70"/>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row>
    <row r="20" spans="5:208" s="68" customFormat="1" ht="20.100000000000001" customHeight="1" x14ac:dyDescent="0.2">
      <c r="E20" s="1083"/>
      <c r="F20" s="941"/>
      <c r="G20" s="941"/>
      <c r="H20" s="941"/>
      <c r="I20" s="941"/>
      <c r="J20" s="941"/>
      <c r="K20" s="941"/>
      <c r="L20" s="941"/>
      <c r="M20" s="941"/>
      <c r="N20" s="941"/>
      <c r="O20" s="941"/>
      <c r="P20" s="1084"/>
      <c r="Q20" s="81"/>
      <c r="R20" s="225"/>
      <c r="S20" s="1070"/>
      <c r="T20" s="1070"/>
      <c r="U20" s="1070"/>
      <c r="V20" s="1070"/>
      <c r="W20" s="1055" t="s">
        <v>287</v>
      </c>
      <c r="X20" s="1055"/>
      <c r="Y20" s="1055"/>
      <c r="Z20" s="1055"/>
      <c r="AA20" s="1055"/>
      <c r="AB20" s="1055"/>
      <c r="AC20" s="1055"/>
      <c r="AD20" s="1055"/>
      <c r="AE20" s="1055"/>
      <c r="AF20" s="1055"/>
      <c r="AG20" s="1055"/>
      <c r="AH20" s="1055"/>
      <c r="AI20" s="1055"/>
      <c r="AJ20" s="1055"/>
      <c r="AK20" s="1055"/>
      <c r="AL20" s="1055" t="s">
        <v>664</v>
      </c>
      <c r="AM20" s="1055"/>
      <c r="AN20" s="1055"/>
      <c r="AO20" s="1055"/>
      <c r="AP20" s="1055"/>
      <c r="AQ20" s="1055"/>
      <c r="AR20" s="1055"/>
      <c r="AS20" s="1055"/>
      <c r="AT20" s="1055"/>
      <c r="AU20" s="1055"/>
      <c r="AV20" s="1055"/>
      <c r="AW20" s="1055"/>
      <c r="AX20" s="1055"/>
      <c r="AY20" s="1055"/>
      <c r="AZ20" s="1055"/>
      <c r="BA20" s="1055"/>
      <c r="BB20" s="1055"/>
      <c r="BC20" s="70"/>
      <c r="BD20" s="1044">
        <f t="shared" si="3"/>
        <v>15</v>
      </c>
      <c r="BE20" s="1044"/>
      <c r="BF20" s="1044"/>
      <c r="BG20" s="1044"/>
      <c r="BH20" s="1044"/>
      <c r="BI20" s="1044"/>
      <c r="BJ20" s="1044"/>
      <c r="BK20" s="1044"/>
      <c r="BL20" s="1044"/>
      <c r="BM20" s="70"/>
      <c r="BN20" s="1044">
        <f>'CH Equipe'!O68</f>
        <v>62.600499999999982</v>
      </c>
      <c r="BO20" s="1044"/>
      <c r="BP20" s="1044"/>
      <c r="BQ20" s="1044"/>
      <c r="BR20" s="1044"/>
      <c r="BS20" s="1044"/>
      <c r="BT20" s="1044"/>
      <c r="BU20" s="1044"/>
      <c r="BV20" s="1044"/>
      <c r="BW20" s="1076">
        <f t="shared" si="4"/>
        <v>1.4227386363636361</v>
      </c>
      <c r="BX20" s="1076"/>
      <c r="BY20" s="1076"/>
      <c r="BZ20" s="1076"/>
      <c r="CA20" s="1076"/>
      <c r="CB20" s="1076"/>
      <c r="CC20" s="1076"/>
      <c r="CD20" s="1076"/>
      <c r="CE20" s="1076"/>
      <c r="CF20" s="70"/>
      <c r="CG20" s="70"/>
      <c r="CH20" s="70"/>
      <c r="CI20" s="70"/>
      <c r="CJ20" s="70"/>
      <c r="CK20" s="70"/>
      <c r="CL20" s="70"/>
      <c r="CM20" s="70"/>
      <c r="CN20" s="70"/>
      <c r="CO20" s="70"/>
      <c r="CP20" s="70"/>
      <c r="CQ20" s="70"/>
      <c r="CR20" s="70"/>
      <c r="CS20" s="70"/>
      <c r="CT20" s="70"/>
      <c r="CU20" s="117"/>
      <c r="CV20" s="117"/>
      <c r="CW20" s="117"/>
      <c r="CX20" s="117"/>
      <c r="CY20" s="117"/>
      <c r="CZ20" s="117"/>
      <c r="DA20" s="117"/>
      <c r="DB20" s="117"/>
      <c r="DC20" s="117"/>
      <c r="DD20" s="117"/>
      <c r="DE20" s="117"/>
      <c r="DF20" s="117"/>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70"/>
      <c r="FK20" s="70"/>
      <c r="FL20" s="70"/>
      <c r="FM20" s="70"/>
      <c r="FN20" s="70"/>
      <c r="FO20" s="70"/>
      <c r="FP20" s="70"/>
      <c r="FQ20" s="70"/>
      <c r="FR20" s="70"/>
      <c r="FS20" s="70"/>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row>
    <row r="21" spans="5:208" s="68" customFormat="1" ht="20.100000000000001" customHeight="1" x14ac:dyDescent="0.2">
      <c r="E21" s="1083"/>
      <c r="F21" s="941"/>
      <c r="G21" s="941"/>
      <c r="H21" s="941"/>
      <c r="I21" s="941"/>
      <c r="J21" s="941"/>
      <c r="K21" s="941"/>
      <c r="L21" s="941"/>
      <c r="M21" s="941"/>
      <c r="N21" s="941"/>
      <c r="O21" s="941"/>
      <c r="P21" s="1084"/>
      <c r="Q21" s="81"/>
      <c r="R21" s="225"/>
      <c r="S21" s="1070"/>
      <c r="T21" s="1070"/>
      <c r="U21" s="1070"/>
      <c r="V21" s="1070"/>
      <c r="W21" s="1055"/>
      <c r="X21" s="1055"/>
      <c r="Y21" s="1055"/>
      <c r="Z21" s="1055"/>
      <c r="AA21" s="1055"/>
      <c r="AB21" s="1055"/>
      <c r="AC21" s="1055"/>
      <c r="AD21" s="1055"/>
      <c r="AE21" s="1055"/>
      <c r="AF21" s="1055"/>
      <c r="AG21" s="1055"/>
      <c r="AH21" s="1055"/>
      <c r="AI21" s="1055"/>
      <c r="AJ21" s="1055"/>
      <c r="AK21" s="1055"/>
      <c r="AL21" s="1055" t="s">
        <v>665</v>
      </c>
      <c r="AM21" s="1055"/>
      <c r="AN21" s="1055"/>
      <c r="AO21" s="1055"/>
      <c r="AP21" s="1055"/>
      <c r="AQ21" s="1055"/>
      <c r="AR21" s="1055"/>
      <c r="AS21" s="1055"/>
      <c r="AT21" s="1055"/>
      <c r="AU21" s="1055"/>
      <c r="AV21" s="1055"/>
      <c r="AW21" s="1055"/>
      <c r="AX21" s="1055"/>
      <c r="AY21" s="1055"/>
      <c r="AZ21" s="1055"/>
      <c r="BA21" s="1055"/>
      <c r="BB21" s="1055"/>
      <c r="BC21" s="70"/>
      <c r="BD21" s="1044">
        <f t="shared" si="3"/>
        <v>15</v>
      </c>
      <c r="BE21" s="1044"/>
      <c r="BF21" s="1044"/>
      <c r="BG21" s="1044"/>
      <c r="BH21" s="1044"/>
      <c r="BI21" s="1044"/>
      <c r="BJ21" s="1044"/>
      <c r="BK21" s="1044"/>
      <c r="BL21" s="1044"/>
      <c r="BM21" s="70"/>
      <c r="BN21" s="1044">
        <f>'CH Equipe'!X68</f>
        <v>32.417279999999998</v>
      </c>
      <c r="BO21" s="1044"/>
      <c r="BP21" s="1044"/>
      <c r="BQ21" s="1044"/>
      <c r="BR21" s="1044"/>
      <c r="BS21" s="1044"/>
      <c r="BT21" s="1044"/>
      <c r="BU21" s="1044"/>
      <c r="BV21" s="1044"/>
      <c r="BW21" s="1076">
        <f t="shared" si="4"/>
        <v>0.73675636363636354</v>
      </c>
      <c r="BX21" s="1076"/>
      <c r="BY21" s="1076"/>
      <c r="BZ21" s="1076"/>
      <c r="CA21" s="1076"/>
      <c r="CB21" s="1076"/>
      <c r="CC21" s="1076"/>
      <c r="CD21" s="1076"/>
      <c r="CE21" s="1076"/>
      <c r="CF21" s="70"/>
      <c r="CG21" s="70"/>
      <c r="CH21" s="70"/>
      <c r="CI21" s="70"/>
      <c r="CJ21" s="70"/>
      <c r="CK21" s="70"/>
      <c r="CL21" s="70"/>
      <c r="CM21" s="70"/>
      <c r="CN21" s="70"/>
      <c r="CO21" s="70"/>
      <c r="CP21" s="70"/>
      <c r="CQ21" s="70"/>
      <c r="CR21" s="70"/>
      <c r="CS21" s="70"/>
      <c r="CT21" s="70"/>
      <c r="CU21" s="117"/>
      <c r="CV21" s="117"/>
      <c r="CW21" s="117"/>
      <c r="CX21" s="117"/>
      <c r="CY21" s="117"/>
      <c r="CZ21" s="117"/>
      <c r="DA21" s="117"/>
      <c r="DB21" s="117"/>
      <c r="DC21" s="117"/>
      <c r="DD21" s="117"/>
      <c r="DE21" s="117"/>
      <c r="DF21" s="117"/>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70"/>
      <c r="FK21" s="70"/>
      <c r="FL21" s="70"/>
      <c r="FM21" s="70"/>
      <c r="FN21" s="70"/>
      <c r="FO21" s="70"/>
      <c r="FP21" s="70"/>
      <c r="FQ21" s="70"/>
      <c r="FR21" s="70"/>
      <c r="FS21" s="70"/>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row>
    <row r="22" spans="5:208" s="68" customFormat="1" ht="20.100000000000001" customHeight="1" x14ac:dyDescent="0.2">
      <c r="E22" s="1083"/>
      <c r="F22" s="941"/>
      <c r="G22" s="941"/>
      <c r="H22" s="941"/>
      <c r="I22" s="941"/>
      <c r="J22" s="941"/>
      <c r="K22" s="941"/>
      <c r="L22" s="941"/>
      <c r="M22" s="941"/>
      <c r="N22" s="941"/>
      <c r="O22" s="941"/>
      <c r="P22" s="1084"/>
      <c r="Q22" s="81"/>
      <c r="R22" s="225"/>
      <c r="S22" s="1070"/>
      <c r="T22" s="1070"/>
      <c r="U22" s="1070"/>
      <c r="V22" s="1070"/>
      <c r="W22" s="1055" t="s">
        <v>397</v>
      </c>
      <c r="X22" s="1055"/>
      <c r="Y22" s="1055"/>
      <c r="Z22" s="1055"/>
      <c r="AA22" s="1055"/>
      <c r="AB22" s="1055"/>
      <c r="AC22" s="1055"/>
      <c r="AD22" s="1055"/>
      <c r="AE22" s="1055"/>
      <c r="AF22" s="1055"/>
      <c r="AG22" s="1055"/>
      <c r="AH22" s="1055"/>
      <c r="AI22" s="1055"/>
      <c r="AJ22" s="1055"/>
      <c r="AK22" s="1055"/>
      <c r="AL22" s="1055" t="s">
        <v>664</v>
      </c>
      <c r="AM22" s="1055"/>
      <c r="AN22" s="1055"/>
      <c r="AO22" s="1055"/>
      <c r="AP22" s="1055"/>
      <c r="AQ22" s="1055"/>
      <c r="AR22" s="1055"/>
      <c r="AS22" s="1055"/>
      <c r="AT22" s="1055"/>
      <c r="AU22" s="1055"/>
      <c r="AV22" s="1055"/>
      <c r="AW22" s="1055"/>
      <c r="AX22" s="1055"/>
      <c r="AY22" s="1055"/>
      <c r="AZ22" s="1055"/>
      <c r="BA22" s="1055"/>
      <c r="BB22" s="1055"/>
      <c r="BC22" s="70"/>
      <c r="BD22" s="1044">
        <f t="shared" si="3"/>
        <v>15</v>
      </c>
      <c r="BE22" s="1044"/>
      <c r="BF22" s="1044"/>
      <c r="BG22" s="1044"/>
      <c r="BH22" s="1044"/>
      <c r="BI22" s="1044"/>
      <c r="BJ22" s="1044"/>
      <c r="BK22" s="1044"/>
      <c r="BL22" s="1044"/>
      <c r="BM22" s="70"/>
      <c r="BN22" s="1044">
        <f>'CH Equipe'!O78</f>
        <v>144</v>
      </c>
      <c r="BO22" s="1044"/>
      <c r="BP22" s="1044"/>
      <c r="BQ22" s="1044"/>
      <c r="BR22" s="1044"/>
      <c r="BS22" s="1044"/>
      <c r="BT22" s="1044"/>
      <c r="BU22" s="1044"/>
      <c r="BV22" s="1044"/>
      <c r="BW22" s="1076">
        <f t="shared" si="4"/>
        <v>3.2727272727272729</v>
      </c>
      <c r="BX22" s="1076"/>
      <c r="BY22" s="1076"/>
      <c r="BZ22" s="1076"/>
      <c r="CA22" s="1076"/>
      <c r="CB22" s="1076"/>
      <c r="CC22" s="1076"/>
      <c r="CD22" s="1076"/>
      <c r="CE22" s="1076"/>
      <c r="CF22" s="70"/>
      <c r="CG22" s="70"/>
      <c r="CH22" s="70"/>
      <c r="CI22" s="70"/>
      <c r="CJ22" s="70"/>
      <c r="CK22" s="70"/>
      <c r="CL22" s="70"/>
      <c r="CM22" s="70"/>
      <c r="CN22" s="70"/>
      <c r="CO22" s="70"/>
      <c r="CP22" s="70"/>
      <c r="CQ22" s="70"/>
      <c r="CR22" s="70"/>
      <c r="CS22" s="70"/>
      <c r="CT22" s="70"/>
      <c r="CU22" s="117"/>
      <c r="CV22" s="117"/>
      <c r="CW22" s="117"/>
      <c r="CX22" s="117"/>
      <c r="CY22" s="117"/>
      <c r="CZ22" s="117"/>
      <c r="DA22" s="117"/>
      <c r="DB22" s="117"/>
      <c r="DC22" s="117"/>
      <c r="DD22" s="117"/>
      <c r="DE22" s="117"/>
      <c r="DF22" s="117"/>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70"/>
      <c r="FK22" s="70"/>
      <c r="FL22" s="70"/>
      <c r="FM22" s="70"/>
      <c r="FN22" s="70"/>
      <c r="FO22" s="70"/>
      <c r="FP22" s="70"/>
      <c r="FQ22" s="70"/>
      <c r="FR22" s="70"/>
      <c r="FS22" s="70"/>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row>
    <row r="23" spans="5:208" s="68" customFormat="1" ht="20.100000000000001" customHeight="1" x14ac:dyDescent="0.2">
      <c r="E23" s="1083"/>
      <c r="F23" s="941"/>
      <c r="G23" s="941"/>
      <c r="H23" s="941"/>
      <c r="I23" s="941"/>
      <c r="J23" s="941"/>
      <c r="K23" s="941"/>
      <c r="L23" s="941"/>
      <c r="M23" s="941"/>
      <c r="N23" s="941"/>
      <c r="O23" s="941"/>
      <c r="P23" s="1084"/>
      <c r="Q23" s="81"/>
      <c r="R23" s="225"/>
      <c r="S23" s="1070"/>
      <c r="T23" s="1070"/>
      <c r="U23" s="1070"/>
      <c r="V23" s="1070"/>
      <c r="W23" s="1055"/>
      <c r="X23" s="1055"/>
      <c r="Y23" s="1055"/>
      <c r="Z23" s="1055"/>
      <c r="AA23" s="1055"/>
      <c r="AB23" s="1055"/>
      <c r="AC23" s="1055"/>
      <c r="AD23" s="1055"/>
      <c r="AE23" s="1055"/>
      <c r="AF23" s="1055"/>
      <c r="AG23" s="1055"/>
      <c r="AH23" s="1055"/>
      <c r="AI23" s="1055"/>
      <c r="AJ23" s="1055"/>
      <c r="AK23" s="1055"/>
      <c r="AL23" s="1055" t="s">
        <v>665</v>
      </c>
      <c r="AM23" s="1055"/>
      <c r="AN23" s="1055"/>
      <c r="AO23" s="1055"/>
      <c r="AP23" s="1055"/>
      <c r="AQ23" s="1055"/>
      <c r="AR23" s="1055"/>
      <c r="AS23" s="1055"/>
      <c r="AT23" s="1055"/>
      <c r="AU23" s="1055"/>
      <c r="AV23" s="1055"/>
      <c r="AW23" s="1055"/>
      <c r="AX23" s="1055"/>
      <c r="AY23" s="1055"/>
      <c r="AZ23" s="1055"/>
      <c r="BA23" s="1055"/>
      <c r="BB23" s="1055"/>
      <c r="BC23" s="70"/>
      <c r="BD23" s="1044">
        <f t="shared" si="3"/>
        <v>15</v>
      </c>
      <c r="BE23" s="1044"/>
      <c r="BF23" s="1044"/>
      <c r="BG23" s="1044"/>
      <c r="BH23" s="1044"/>
      <c r="BI23" s="1044"/>
      <c r="BJ23" s="1044"/>
      <c r="BK23" s="1044"/>
      <c r="BL23" s="1044"/>
      <c r="BM23" s="70"/>
      <c r="BN23" s="1044">
        <f>'CH Equipe'!X78</f>
        <v>408</v>
      </c>
      <c r="BO23" s="1044"/>
      <c r="BP23" s="1044"/>
      <c r="BQ23" s="1044"/>
      <c r="BR23" s="1044"/>
      <c r="BS23" s="1044"/>
      <c r="BT23" s="1044"/>
      <c r="BU23" s="1044"/>
      <c r="BV23" s="1044"/>
      <c r="BW23" s="1076">
        <f t="shared" si="4"/>
        <v>9.2727272727272734</v>
      </c>
      <c r="BX23" s="1076"/>
      <c r="BY23" s="1076"/>
      <c r="BZ23" s="1076"/>
      <c r="CA23" s="1076"/>
      <c r="CB23" s="1076"/>
      <c r="CC23" s="1076"/>
      <c r="CD23" s="1076"/>
      <c r="CE23" s="1076"/>
      <c r="CF23" s="70"/>
      <c r="CG23" s="70"/>
      <c r="CH23" s="70"/>
      <c r="CI23" s="70"/>
      <c r="CJ23" s="70"/>
      <c r="CK23" s="70"/>
      <c r="CL23" s="70"/>
      <c r="CM23" s="70"/>
      <c r="CN23" s="70"/>
      <c r="CO23" s="70"/>
      <c r="CP23" s="70"/>
      <c r="CQ23" s="70"/>
      <c r="CR23" s="70"/>
      <c r="CS23" s="70"/>
      <c r="CT23" s="70"/>
      <c r="CU23" s="117"/>
      <c r="CV23" s="117"/>
      <c r="CW23" s="117"/>
      <c r="CX23" s="117"/>
      <c r="CY23" s="117"/>
      <c r="CZ23" s="117"/>
      <c r="DA23" s="117"/>
      <c r="DB23" s="117"/>
      <c r="DC23" s="117"/>
      <c r="DD23" s="117"/>
      <c r="DE23" s="117"/>
      <c r="DF23" s="117"/>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70"/>
      <c r="FK23" s="70"/>
      <c r="FL23" s="70"/>
      <c r="FM23" s="70"/>
      <c r="FN23" s="70"/>
      <c r="FO23" s="70"/>
      <c r="FP23" s="70"/>
      <c r="FQ23" s="70"/>
      <c r="FR23" s="70"/>
      <c r="FS23" s="70"/>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row>
    <row r="24" spans="5:208" s="68" customFormat="1" ht="5.0999999999999996" customHeight="1" x14ac:dyDescent="0.2">
      <c r="E24" s="1083"/>
      <c r="F24" s="941"/>
      <c r="G24" s="941"/>
      <c r="H24" s="941"/>
      <c r="I24" s="941"/>
      <c r="J24" s="941"/>
      <c r="K24" s="941"/>
      <c r="L24" s="941"/>
      <c r="M24" s="941"/>
      <c r="N24" s="941"/>
      <c r="O24" s="941"/>
      <c r="P24" s="1084"/>
      <c r="Q24" s="81"/>
      <c r="R24" s="225"/>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1060"/>
      <c r="BA24" s="1060"/>
      <c r="BB24" s="1060"/>
      <c r="BC24" s="70"/>
      <c r="BD24" s="961"/>
      <c r="BE24" s="961"/>
      <c r="BF24" s="961"/>
      <c r="BG24" s="961"/>
      <c r="BH24" s="961"/>
      <c r="BI24" s="961"/>
      <c r="BJ24" s="961"/>
      <c r="BK24" s="961"/>
      <c r="BL24" s="961"/>
      <c r="BM24" s="70"/>
      <c r="BN24" s="70"/>
      <c r="BO24" s="70"/>
      <c r="BP24" s="70"/>
      <c r="BQ24" s="70"/>
      <c r="BR24" s="70"/>
      <c r="BS24" s="70"/>
      <c r="BT24" s="70"/>
      <c r="BU24" s="70"/>
      <c r="BV24" s="70"/>
      <c r="BW24" s="70"/>
      <c r="BX24" s="70"/>
      <c r="BY24" s="70"/>
      <c r="BZ24" s="70"/>
      <c r="CA24" s="70"/>
      <c r="CB24" s="70"/>
      <c r="CC24" s="70"/>
      <c r="CD24" s="70"/>
      <c r="CE24" s="70"/>
      <c r="CF24" s="70"/>
      <c r="CG24" s="70"/>
      <c r="CH24" s="961"/>
      <c r="CI24" s="961"/>
      <c r="CJ24" s="961"/>
      <c r="CK24" s="961"/>
      <c r="CL24" s="961"/>
      <c r="CM24" s="961"/>
      <c r="CN24" s="961"/>
      <c r="CO24" s="961"/>
      <c r="CP24" s="961"/>
      <c r="CQ24" s="961"/>
      <c r="CR24" s="961"/>
      <c r="CS24" s="961"/>
      <c r="CT24" s="70"/>
      <c r="CU24" s="961"/>
      <c r="CV24" s="961"/>
      <c r="CW24" s="961"/>
      <c r="CX24" s="961"/>
      <c r="CY24" s="961"/>
      <c r="CZ24" s="961"/>
      <c r="DA24" s="961"/>
      <c r="DB24" s="961"/>
      <c r="DC24" s="961"/>
      <c r="DD24" s="961"/>
      <c r="DE24" s="961"/>
      <c r="DF24" s="96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70"/>
      <c r="FK24" s="70"/>
      <c r="FL24" s="70"/>
      <c r="FM24" s="70"/>
      <c r="FN24" s="70"/>
      <c r="FO24" s="70"/>
      <c r="FP24" s="70"/>
      <c r="FQ24" s="70"/>
      <c r="FR24" s="70"/>
      <c r="FS24" s="70"/>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row>
    <row r="25" spans="5:208" s="68" customFormat="1" ht="24.75" customHeight="1" x14ac:dyDescent="0.2">
      <c r="E25" s="1083"/>
      <c r="F25" s="941"/>
      <c r="G25" s="941"/>
      <c r="H25" s="941"/>
      <c r="I25" s="941"/>
      <c r="J25" s="941"/>
      <c r="K25" s="941"/>
      <c r="L25" s="941"/>
      <c r="M25" s="941"/>
      <c r="N25" s="941"/>
      <c r="O25" s="941"/>
      <c r="P25" s="1084"/>
      <c r="Q25" s="81"/>
      <c r="R25" s="225"/>
      <c r="S25" s="1060"/>
      <c r="T25" s="1060"/>
      <c r="U25" s="1060"/>
      <c r="V25" s="1060"/>
      <c r="W25" s="1060"/>
      <c r="X25" s="1060"/>
      <c r="Y25" s="1060"/>
      <c r="Z25" s="1060"/>
      <c r="AA25" s="1060"/>
      <c r="AB25" s="1060"/>
      <c r="AC25" s="1060"/>
      <c r="AD25" s="1060"/>
      <c r="AE25" s="1060"/>
      <c r="AF25" s="1060"/>
      <c r="AG25" s="1060"/>
      <c r="AH25" s="1060"/>
      <c r="AI25" s="1060"/>
      <c r="AJ25" s="1060"/>
      <c r="AK25" s="1060"/>
      <c r="AL25" s="1060"/>
      <c r="AM25" s="1060"/>
      <c r="AN25" s="1060"/>
      <c r="AO25" s="1060"/>
      <c r="AP25" s="1060"/>
      <c r="AQ25" s="1060"/>
      <c r="AR25" s="1060"/>
      <c r="AS25" s="1060"/>
      <c r="AT25" s="1060"/>
      <c r="AU25" s="1060"/>
      <c r="AV25" s="1060"/>
      <c r="AW25" s="1060"/>
      <c r="AX25" s="1060"/>
      <c r="AY25" s="1060"/>
      <c r="AZ25" s="1060"/>
      <c r="BA25" s="1060"/>
      <c r="BB25" s="1060"/>
      <c r="BC25" s="70"/>
      <c r="BD25" s="961"/>
      <c r="BE25" s="961"/>
      <c r="BF25" s="961"/>
      <c r="BG25" s="961"/>
      <c r="BH25" s="961"/>
      <c r="BI25" s="961"/>
      <c r="BJ25" s="961"/>
      <c r="BK25" s="961"/>
      <c r="BL25" s="961"/>
      <c r="BM25" s="70"/>
      <c r="BN25" s="69"/>
      <c r="BO25" s="69"/>
      <c r="BP25" s="69"/>
      <c r="BQ25" s="69"/>
      <c r="BR25" s="69"/>
      <c r="BS25" s="69"/>
      <c r="BT25" s="69"/>
      <c r="BU25" s="69"/>
      <c r="BV25" s="69"/>
      <c r="BW25" s="1044" t="s">
        <v>666</v>
      </c>
      <c r="BX25" s="1044"/>
      <c r="BY25" s="1044"/>
      <c r="BZ25" s="1044"/>
      <c r="CA25" s="1044"/>
      <c r="CB25" s="1044"/>
      <c r="CC25" s="1044"/>
      <c r="CD25" s="1044"/>
      <c r="CE25" s="1044"/>
      <c r="CF25" s="70"/>
      <c r="CG25" s="70"/>
      <c r="CH25" s="965"/>
      <c r="CI25" s="966"/>
      <c r="CJ25" s="966"/>
      <c r="CK25" s="966"/>
      <c r="CL25" s="966"/>
      <c r="CM25" s="966"/>
      <c r="CN25" s="966"/>
      <c r="CO25" s="966"/>
      <c r="CP25" s="966"/>
      <c r="CQ25" s="966"/>
      <c r="CR25" s="966"/>
      <c r="CS25" s="967"/>
      <c r="CT25" s="70"/>
      <c r="CU25" s="1057">
        <f>SUM('[1]CH Equipe'!CG71:CO71)</f>
        <v>0</v>
      </c>
      <c r="CV25" s="1058"/>
      <c r="CW25" s="1058"/>
      <c r="CX25" s="1058"/>
      <c r="CY25" s="1058"/>
      <c r="CZ25" s="1058"/>
      <c r="DA25" s="1058"/>
      <c r="DB25" s="1058"/>
      <c r="DC25" s="1058"/>
      <c r="DD25" s="1058"/>
      <c r="DE25" s="1058"/>
      <c r="DF25" s="1059"/>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70"/>
      <c r="FK25" s="70"/>
      <c r="FL25" s="70"/>
      <c r="FM25" s="70"/>
      <c r="FN25" s="70"/>
      <c r="FO25" s="70"/>
      <c r="FP25" s="70"/>
      <c r="FQ25" s="70"/>
      <c r="FR25" s="70"/>
      <c r="FS25" s="70"/>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row>
    <row r="26" spans="5:208" s="68" customFormat="1" ht="5.0999999999999996" customHeight="1" x14ac:dyDescent="0.2">
      <c r="E26" s="1083"/>
      <c r="F26" s="941"/>
      <c r="G26" s="941"/>
      <c r="H26" s="941"/>
      <c r="I26" s="941"/>
      <c r="J26" s="941"/>
      <c r="K26" s="941"/>
      <c r="L26" s="941"/>
      <c r="M26" s="941"/>
      <c r="N26" s="941"/>
      <c r="O26" s="941"/>
      <c r="P26" s="1084"/>
      <c r="Q26" s="81"/>
      <c r="R26" s="225"/>
      <c r="S26" s="1060"/>
      <c r="T26" s="1060"/>
      <c r="U26" s="1060"/>
      <c r="V26" s="1060"/>
      <c r="W26" s="1060"/>
      <c r="X26" s="1060"/>
      <c r="Y26" s="1060"/>
      <c r="Z26" s="1060"/>
      <c r="AA26" s="1060"/>
      <c r="AB26" s="1060"/>
      <c r="AC26" s="1060"/>
      <c r="AD26" s="1060"/>
      <c r="AE26" s="1060"/>
      <c r="AF26" s="1060"/>
      <c r="AG26" s="1060"/>
      <c r="AH26" s="1060"/>
      <c r="AI26" s="1060"/>
      <c r="AJ26" s="1060"/>
      <c r="AK26" s="1060"/>
      <c r="AL26" s="1060"/>
      <c r="AM26" s="1060"/>
      <c r="AN26" s="1060"/>
      <c r="AO26" s="1060"/>
      <c r="AP26" s="1060"/>
      <c r="AQ26" s="1060"/>
      <c r="AR26" s="1060"/>
      <c r="AS26" s="1060"/>
      <c r="AT26" s="1060"/>
      <c r="AU26" s="1060"/>
      <c r="AV26" s="1060"/>
      <c r="AW26" s="1060"/>
      <c r="AX26" s="1060"/>
      <c r="AY26" s="1060"/>
      <c r="AZ26" s="1060"/>
      <c r="BA26" s="1060"/>
      <c r="BB26" s="1060"/>
      <c r="BC26" s="70"/>
      <c r="BD26" s="961"/>
      <c r="BE26" s="961"/>
      <c r="BF26" s="961"/>
      <c r="BG26" s="961"/>
      <c r="BH26" s="961"/>
      <c r="BI26" s="961"/>
      <c r="BJ26" s="961"/>
      <c r="BK26" s="961"/>
      <c r="BL26" s="961"/>
      <c r="BM26" s="70"/>
      <c r="BN26" s="70"/>
      <c r="BO26" s="70"/>
      <c r="BP26" s="70"/>
      <c r="BQ26" s="70"/>
      <c r="BR26" s="70"/>
      <c r="BS26" s="70"/>
      <c r="BT26" s="70"/>
      <c r="BU26" s="70"/>
      <c r="BV26" s="70"/>
      <c r="BW26" s="70"/>
      <c r="BX26" s="70"/>
      <c r="BY26" s="70"/>
      <c r="BZ26" s="70"/>
      <c r="CA26" s="70"/>
      <c r="CB26" s="70"/>
      <c r="CC26" s="70"/>
      <c r="CD26" s="70"/>
      <c r="CE26" s="70"/>
      <c r="CF26" s="70"/>
      <c r="CG26" s="70"/>
      <c r="CH26" s="961"/>
      <c r="CI26" s="961"/>
      <c r="CJ26" s="961"/>
      <c r="CK26" s="961"/>
      <c r="CL26" s="961"/>
      <c r="CM26" s="961"/>
      <c r="CN26" s="961"/>
      <c r="CO26" s="961"/>
      <c r="CP26" s="961"/>
      <c r="CQ26" s="961"/>
      <c r="CR26" s="961"/>
      <c r="CS26" s="961"/>
      <c r="CT26" s="70"/>
      <c r="CU26" s="961"/>
      <c r="CV26" s="961"/>
      <c r="CW26" s="961"/>
      <c r="CX26" s="961"/>
      <c r="CY26" s="961"/>
      <c r="CZ26" s="961"/>
      <c r="DA26" s="961"/>
      <c r="DB26" s="961"/>
      <c r="DC26" s="961"/>
      <c r="DD26" s="961"/>
      <c r="DE26" s="961"/>
      <c r="DF26" s="96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70"/>
      <c r="FK26" s="70"/>
      <c r="FL26" s="70"/>
      <c r="FM26" s="70"/>
      <c r="FN26" s="70"/>
      <c r="FO26" s="70"/>
      <c r="FP26" s="70"/>
      <c r="FQ26" s="70"/>
      <c r="FR26" s="70"/>
      <c r="FS26" s="70"/>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row>
    <row r="27" spans="5:208" s="68" customFormat="1" ht="27" customHeight="1" x14ac:dyDescent="0.2">
      <c r="E27" s="1083"/>
      <c r="F27" s="941"/>
      <c r="G27" s="941"/>
      <c r="H27" s="941"/>
      <c r="I27" s="941"/>
      <c r="J27" s="941"/>
      <c r="K27" s="941"/>
      <c r="L27" s="941"/>
      <c r="M27" s="941"/>
      <c r="N27" s="941"/>
      <c r="O27" s="941"/>
      <c r="P27" s="1084"/>
      <c r="Q27" s="81"/>
      <c r="R27" s="225"/>
      <c r="S27" s="1061" t="s">
        <v>96</v>
      </c>
      <c r="T27" s="1055"/>
      <c r="U27" s="1055"/>
      <c r="V27" s="1055"/>
      <c r="W27" s="1055"/>
      <c r="X27" s="1055"/>
      <c r="Y27" s="1055"/>
      <c r="Z27" s="1055"/>
      <c r="AA27" s="1055"/>
      <c r="AB27" s="1055"/>
      <c r="AC27" s="1055"/>
      <c r="AD27" s="1055"/>
      <c r="AE27" s="1055"/>
      <c r="AF27" s="1055"/>
      <c r="AG27" s="1055"/>
      <c r="AH27" s="1055"/>
      <c r="AI27" s="1055"/>
      <c r="AJ27" s="1055"/>
      <c r="AK27" s="1055"/>
      <c r="AL27" s="1055" t="s">
        <v>667</v>
      </c>
      <c r="AM27" s="1055"/>
      <c r="AN27" s="1055"/>
      <c r="AO27" s="1055"/>
      <c r="AP27" s="1055"/>
      <c r="AQ27" s="1055"/>
      <c r="AR27" s="1055"/>
      <c r="AS27" s="1055"/>
      <c r="AT27" s="1055"/>
      <c r="AU27" s="1055"/>
      <c r="AV27" s="1055"/>
      <c r="AW27" s="1055"/>
      <c r="AX27" s="1055"/>
      <c r="AY27" s="1055"/>
      <c r="AZ27" s="1055"/>
      <c r="BA27" s="1055"/>
      <c r="BB27" s="1055"/>
      <c r="BC27" s="70"/>
      <c r="BD27" s="1044">
        <f>BD8</f>
        <v>15</v>
      </c>
      <c r="BE27" s="1044"/>
      <c r="BF27" s="1044"/>
      <c r="BG27" s="1044"/>
      <c r="BH27" s="1044"/>
      <c r="BI27" s="1044"/>
      <c r="BJ27" s="1044"/>
      <c r="BK27" s="1044"/>
      <c r="BL27" s="1044"/>
      <c r="BM27" s="70"/>
      <c r="BN27" s="961"/>
      <c r="BO27" s="961"/>
      <c r="BP27" s="961"/>
      <c r="BQ27" s="961"/>
      <c r="BR27" s="961"/>
      <c r="BS27" s="961"/>
      <c r="BT27" s="961"/>
      <c r="BU27" s="961"/>
      <c r="BV27" s="961"/>
      <c r="BW27" s="1044">
        <f>'CH Equipe'!CG116</f>
        <v>17.643545852272727</v>
      </c>
      <c r="BX27" s="1044"/>
      <c r="BY27" s="1044"/>
      <c r="BZ27" s="1044"/>
      <c r="CA27" s="1044"/>
      <c r="CB27" s="1044"/>
      <c r="CC27" s="1044"/>
      <c r="CD27" s="1044"/>
      <c r="CE27" s="1044"/>
      <c r="CF27" s="70"/>
      <c r="CG27" s="70"/>
      <c r="CH27" s="965"/>
      <c r="CI27" s="966"/>
      <c r="CJ27" s="966"/>
      <c r="CK27" s="966"/>
      <c r="CL27" s="966"/>
      <c r="CM27" s="966"/>
      <c r="CN27" s="966"/>
      <c r="CO27" s="966"/>
      <c r="CP27" s="966"/>
      <c r="CQ27" s="966"/>
      <c r="CR27" s="966"/>
      <c r="CS27" s="967"/>
      <c r="CT27" s="70"/>
      <c r="CU27" s="1057">
        <f>SUM('[1]CH Equipe'!CG73:CO73)</f>
        <v>0</v>
      </c>
      <c r="CV27" s="1058"/>
      <c r="CW27" s="1058"/>
      <c r="CX27" s="1058"/>
      <c r="CY27" s="1058"/>
      <c r="CZ27" s="1058"/>
      <c r="DA27" s="1058"/>
      <c r="DB27" s="1058"/>
      <c r="DC27" s="1058"/>
      <c r="DD27" s="1058"/>
      <c r="DE27" s="1058"/>
      <c r="DF27" s="1059"/>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70"/>
      <c r="FK27" s="70"/>
      <c r="FL27" s="70"/>
      <c r="FM27" s="70"/>
      <c r="FN27" s="70"/>
      <c r="FO27" s="70"/>
      <c r="FP27" s="70"/>
      <c r="FQ27" s="70"/>
      <c r="FR27" s="70"/>
      <c r="FS27" s="70"/>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row>
    <row r="28" spans="5:208" s="68" customFormat="1" ht="5.0999999999999996" customHeight="1" x14ac:dyDescent="0.2">
      <c r="E28" s="1083"/>
      <c r="F28" s="941"/>
      <c r="G28" s="941"/>
      <c r="H28" s="941"/>
      <c r="I28" s="941"/>
      <c r="J28" s="941"/>
      <c r="K28" s="941"/>
      <c r="L28" s="941"/>
      <c r="M28" s="941"/>
      <c r="N28" s="941"/>
      <c r="O28" s="941"/>
      <c r="P28" s="1084"/>
      <c r="Q28" s="81"/>
      <c r="R28" s="225"/>
      <c r="S28" s="1060"/>
      <c r="T28" s="1060"/>
      <c r="U28" s="1060"/>
      <c r="V28" s="1060"/>
      <c r="W28" s="1060"/>
      <c r="X28" s="1060"/>
      <c r="Y28" s="1060"/>
      <c r="Z28" s="1060"/>
      <c r="AA28" s="1060"/>
      <c r="AB28" s="1060"/>
      <c r="AC28" s="1060"/>
      <c r="AD28" s="1060"/>
      <c r="AE28" s="1060"/>
      <c r="AF28" s="1060"/>
      <c r="AG28" s="1060"/>
      <c r="AH28" s="1060"/>
      <c r="AI28" s="1060"/>
      <c r="AJ28" s="1060"/>
      <c r="AK28" s="1060"/>
      <c r="AL28" s="1060"/>
      <c r="AM28" s="1060"/>
      <c r="AN28" s="1060"/>
      <c r="AO28" s="1060"/>
      <c r="AP28" s="1060"/>
      <c r="AQ28" s="1060"/>
      <c r="AR28" s="1060"/>
      <c r="AS28" s="1060"/>
      <c r="AT28" s="1060"/>
      <c r="AU28" s="1060"/>
      <c r="AV28" s="1060"/>
      <c r="AW28" s="1060"/>
      <c r="AX28" s="1060"/>
      <c r="AY28" s="1060"/>
      <c r="AZ28" s="1060"/>
      <c r="BA28" s="1060"/>
      <c r="BB28" s="1060"/>
      <c r="BC28" s="70"/>
      <c r="BD28" s="961"/>
      <c r="BE28" s="961"/>
      <c r="BF28" s="961"/>
      <c r="BG28" s="961"/>
      <c r="BH28" s="961"/>
      <c r="BI28" s="961"/>
      <c r="BJ28" s="961"/>
      <c r="BK28" s="961"/>
      <c r="BL28" s="961"/>
      <c r="BM28" s="70"/>
      <c r="BN28" s="70"/>
      <c r="BO28" s="70"/>
      <c r="BP28" s="70"/>
      <c r="BQ28" s="70"/>
      <c r="BR28" s="70"/>
      <c r="BS28" s="70"/>
      <c r="BT28" s="70"/>
      <c r="BU28" s="70"/>
      <c r="BV28" s="70"/>
      <c r="BW28" s="70"/>
      <c r="BX28" s="70"/>
      <c r="BY28" s="70"/>
      <c r="BZ28" s="70"/>
      <c r="CA28" s="70"/>
      <c r="CB28" s="70"/>
      <c r="CC28" s="70"/>
      <c r="CD28" s="70"/>
      <c r="CE28" s="70"/>
      <c r="CF28" s="70"/>
      <c r="CG28" s="70"/>
      <c r="CH28" s="961"/>
      <c r="CI28" s="961"/>
      <c r="CJ28" s="961"/>
      <c r="CK28" s="961"/>
      <c r="CL28" s="961"/>
      <c r="CM28" s="961"/>
      <c r="CN28" s="961"/>
      <c r="CO28" s="961"/>
      <c r="CP28" s="961"/>
      <c r="CQ28" s="961"/>
      <c r="CR28" s="961"/>
      <c r="CS28" s="961"/>
      <c r="CT28" s="70"/>
      <c r="CU28" s="961"/>
      <c r="CV28" s="961"/>
      <c r="CW28" s="961"/>
      <c r="CX28" s="961"/>
      <c r="CY28" s="961"/>
      <c r="CZ28" s="961"/>
      <c r="DA28" s="961"/>
      <c r="DB28" s="961"/>
      <c r="DC28" s="961"/>
      <c r="DD28" s="961"/>
      <c r="DE28" s="961"/>
      <c r="DF28" s="96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70"/>
      <c r="FK28" s="70"/>
      <c r="FL28" s="70"/>
      <c r="FM28" s="70"/>
      <c r="FN28" s="70"/>
      <c r="FO28" s="70"/>
      <c r="FP28" s="70"/>
      <c r="FQ28" s="70"/>
      <c r="FR28" s="70"/>
      <c r="FS28" s="70"/>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row>
    <row r="29" spans="5:208" s="68" customFormat="1" ht="20.100000000000001" customHeight="1" x14ac:dyDescent="0.2">
      <c r="E29" s="1083"/>
      <c r="F29" s="941"/>
      <c r="G29" s="941"/>
      <c r="H29" s="941"/>
      <c r="I29" s="941"/>
      <c r="J29" s="941"/>
      <c r="K29" s="941"/>
      <c r="L29" s="941"/>
      <c r="M29" s="941"/>
      <c r="N29" s="941"/>
      <c r="O29" s="941"/>
      <c r="P29" s="1084"/>
      <c r="Q29" s="81"/>
      <c r="R29" s="225"/>
      <c r="S29" s="1055" t="s">
        <v>27</v>
      </c>
      <c r="T29" s="1055"/>
      <c r="U29" s="1055"/>
      <c r="V29" s="1055"/>
      <c r="W29" s="1055"/>
      <c r="X29" s="1055"/>
      <c r="Y29" s="1055"/>
      <c r="Z29" s="1055"/>
      <c r="AA29" s="1055"/>
      <c r="AB29" s="1055"/>
      <c r="AC29" s="1055"/>
      <c r="AD29" s="1055"/>
      <c r="AE29" s="1055"/>
      <c r="AF29" s="1055"/>
      <c r="AG29" s="1055"/>
      <c r="AH29" s="1055"/>
      <c r="AI29" s="1055"/>
      <c r="AJ29" s="1055"/>
      <c r="AK29" s="1055"/>
      <c r="AL29" s="1055"/>
      <c r="AM29" s="1055"/>
      <c r="AN29" s="1055"/>
      <c r="AO29" s="1055"/>
      <c r="AP29" s="1055"/>
      <c r="AQ29" s="1055"/>
      <c r="AR29" s="1055"/>
      <c r="AS29" s="1055"/>
      <c r="AT29" s="1055"/>
      <c r="AU29" s="1055"/>
      <c r="AV29" s="1055"/>
      <c r="AW29" s="1055"/>
      <c r="AX29" s="1055"/>
      <c r="AY29" s="1055"/>
      <c r="AZ29" s="1055"/>
      <c r="BA29" s="1055"/>
      <c r="BB29" s="1055"/>
      <c r="BC29" s="1055"/>
      <c r="BD29" s="1055"/>
      <c r="BE29" s="1055"/>
      <c r="BF29" s="1055"/>
      <c r="BG29" s="1055"/>
      <c r="BH29" s="1055"/>
      <c r="BI29" s="1055"/>
      <c r="BJ29" s="1055"/>
      <c r="BK29" s="1055"/>
      <c r="BL29" s="1055"/>
      <c r="BM29" s="1055"/>
      <c r="BN29" s="1055"/>
      <c r="BO29" s="1055"/>
      <c r="BP29" s="1055"/>
      <c r="BQ29" s="1055"/>
      <c r="BR29" s="1055"/>
      <c r="BS29" s="1055"/>
      <c r="BT29" s="1055"/>
      <c r="BU29" s="1055"/>
      <c r="BV29" s="1056"/>
      <c r="BW29" s="1047">
        <f>'CH Equipe'!AT116</f>
        <v>1</v>
      </c>
      <c r="BX29" s="1044"/>
      <c r="BY29" s="1044"/>
      <c r="BZ29" s="1044"/>
      <c r="CA29" s="1044"/>
      <c r="CB29" s="1044"/>
      <c r="CC29" s="1044"/>
      <c r="CD29" s="1044"/>
      <c r="CE29" s="1044"/>
      <c r="CF29" s="70"/>
      <c r="CG29" s="70"/>
      <c r="CH29" s="961"/>
      <c r="CI29" s="961"/>
      <c r="CJ29" s="961"/>
      <c r="CK29" s="961"/>
      <c r="CL29" s="961"/>
      <c r="CM29" s="961"/>
      <c r="CN29" s="961"/>
      <c r="CO29" s="961"/>
      <c r="CP29" s="961"/>
      <c r="CQ29" s="961"/>
      <c r="CR29" s="961"/>
      <c r="CS29" s="961"/>
      <c r="CT29" s="70"/>
      <c r="CU29" s="1057">
        <f>SUM('[1]CH Equipe'!AU73:BC73)</f>
        <v>0</v>
      </c>
      <c r="CV29" s="1058"/>
      <c r="CW29" s="1058"/>
      <c r="CX29" s="1058"/>
      <c r="CY29" s="1058"/>
      <c r="CZ29" s="1058"/>
      <c r="DA29" s="1058"/>
      <c r="DB29" s="1058"/>
      <c r="DC29" s="1058"/>
      <c r="DD29" s="1058"/>
      <c r="DE29" s="1058"/>
      <c r="DF29" s="1059"/>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70"/>
      <c r="FK29" s="70"/>
      <c r="FL29" s="70"/>
      <c r="FM29" s="70"/>
      <c r="FN29" s="70"/>
      <c r="FO29" s="70"/>
      <c r="FP29" s="70"/>
      <c r="FQ29" s="70"/>
      <c r="FR29" s="70"/>
      <c r="FS29" s="70"/>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row>
    <row r="30" spans="5:208" s="68" customFormat="1" ht="5.0999999999999996" customHeight="1" x14ac:dyDescent="0.2">
      <c r="E30" s="1083"/>
      <c r="F30" s="941"/>
      <c r="G30" s="941"/>
      <c r="H30" s="941"/>
      <c r="I30" s="941"/>
      <c r="J30" s="941"/>
      <c r="K30" s="941"/>
      <c r="L30" s="941"/>
      <c r="M30" s="941"/>
      <c r="N30" s="941"/>
      <c r="O30" s="941"/>
      <c r="P30" s="1084"/>
      <c r="Q30" s="81"/>
      <c r="R30" s="225"/>
      <c r="S30" s="1060"/>
      <c r="T30" s="1060"/>
      <c r="U30" s="1060"/>
      <c r="V30" s="1060"/>
      <c r="W30" s="1060"/>
      <c r="X30" s="1060"/>
      <c r="Y30" s="1060"/>
      <c r="Z30" s="1060"/>
      <c r="AA30" s="1060"/>
      <c r="AB30" s="1060"/>
      <c r="AC30" s="1060"/>
      <c r="AD30" s="1060"/>
      <c r="AE30" s="1060"/>
      <c r="AF30" s="1060"/>
      <c r="AG30" s="1060"/>
      <c r="AH30" s="1060"/>
      <c r="AI30" s="1060"/>
      <c r="AJ30" s="1060"/>
      <c r="AK30" s="1060"/>
      <c r="AL30" s="1060"/>
      <c r="AM30" s="1060"/>
      <c r="AN30" s="1060"/>
      <c r="AO30" s="1060"/>
      <c r="AP30" s="1060"/>
      <c r="AQ30" s="1060"/>
      <c r="AR30" s="1060"/>
      <c r="AS30" s="1060"/>
      <c r="AT30" s="1060"/>
      <c r="AU30" s="1060"/>
      <c r="AV30" s="1060"/>
      <c r="AW30" s="1060"/>
      <c r="AX30" s="1060"/>
      <c r="AY30" s="1060"/>
      <c r="AZ30" s="1060"/>
      <c r="BA30" s="1060"/>
      <c r="BB30" s="1060"/>
      <c r="BC30" s="70"/>
      <c r="BD30" s="961"/>
      <c r="BE30" s="961"/>
      <c r="BF30" s="961"/>
      <c r="BG30" s="961"/>
      <c r="BH30" s="961"/>
      <c r="BI30" s="961"/>
      <c r="BJ30" s="961"/>
      <c r="BK30" s="961"/>
      <c r="BL30" s="961"/>
      <c r="BM30" s="70"/>
      <c r="BN30" s="70"/>
      <c r="BO30" s="70"/>
      <c r="BP30" s="70"/>
      <c r="BQ30" s="70"/>
      <c r="BR30" s="70"/>
      <c r="BS30" s="70"/>
      <c r="BT30" s="70"/>
      <c r="BU30" s="70"/>
      <c r="BV30" s="70"/>
      <c r="BW30" s="70"/>
      <c r="BX30" s="70"/>
      <c r="BY30" s="70"/>
      <c r="BZ30" s="70"/>
      <c r="CA30" s="70"/>
      <c r="CB30" s="70"/>
      <c r="CC30" s="70"/>
      <c r="CD30" s="70"/>
      <c r="CE30" s="70"/>
      <c r="CF30" s="70"/>
      <c r="CG30" s="70"/>
      <c r="CH30" s="961"/>
      <c r="CI30" s="961"/>
      <c r="CJ30" s="961"/>
      <c r="CK30" s="961"/>
      <c r="CL30" s="961"/>
      <c r="CM30" s="961"/>
      <c r="CN30" s="961"/>
      <c r="CO30" s="961"/>
      <c r="CP30" s="961"/>
      <c r="CQ30" s="961"/>
      <c r="CR30" s="961"/>
      <c r="CS30" s="961"/>
      <c r="CT30" s="70"/>
      <c r="CU30" s="1062"/>
      <c r="CV30" s="1062"/>
      <c r="CW30" s="1062"/>
      <c r="CX30" s="1062"/>
      <c r="CY30" s="1062"/>
      <c r="CZ30" s="1062"/>
      <c r="DA30" s="1062"/>
      <c r="DB30" s="1062"/>
      <c r="DC30" s="1062"/>
      <c r="DD30" s="1062"/>
      <c r="DE30" s="1062"/>
      <c r="DF30" s="1062"/>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70"/>
      <c r="FK30" s="70"/>
      <c r="FL30" s="70"/>
      <c r="FM30" s="70"/>
      <c r="FN30" s="70"/>
      <c r="FO30" s="70"/>
      <c r="FP30" s="70"/>
      <c r="FQ30" s="70"/>
      <c r="FR30" s="70"/>
      <c r="FS30" s="70"/>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row>
    <row r="31" spans="5:208" s="68" customFormat="1" ht="20.100000000000001" customHeight="1" x14ac:dyDescent="0.2">
      <c r="E31" s="1085"/>
      <c r="F31" s="1086"/>
      <c r="G31" s="1086"/>
      <c r="H31" s="1086"/>
      <c r="I31" s="1086"/>
      <c r="J31" s="1086"/>
      <c r="K31" s="1086"/>
      <c r="L31" s="1086"/>
      <c r="M31" s="1086"/>
      <c r="N31" s="1086"/>
      <c r="O31" s="1086"/>
      <c r="P31" s="1087"/>
      <c r="Q31" s="81"/>
      <c r="R31" s="225"/>
      <c r="S31" s="1055" t="s">
        <v>668</v>
      </c>
      <c r="T31" s="1055"/>
      <c r="U31" s="1055"/>
      <c r="V31" s="1055"/>
      <c r="W31" s="1055"/>
      <c r="X31" s="1055"/>
      <c r="Y31" s="1055"/>
      <c r="Z31" s="1055"/>
      <c r="AA31" s="1055"/>
      <c r="AB31" s="1055"/>
      <c r="AC31" s="1055"/>
      <c r="AD31" s="1055"/>
      <c r="AE31" s="1055"/>
      <c r="AF31" s="1055"/>
      <c r="AG31" s="1055"/>
      <c r="AH31" s="1055"/>
      <c r="AI31" s="1055"/>
      <c r="AJ31" s="1055"/>
      <c r="AK31" s="1055"/>
      <c r="AL31" s="1055"/>
      <c r="AM31" s="1055"/>
      <c r="AN31" s="1055"/>
      <c r="AO31" s="1055"/>
      <c r="AP31" s="1055"/>
      <c r="AQ31" s="1055"/>
      <c r="AR31" s="1055"/>
      <c r="AS31" s="1055"/>
      <c r="AT31" s="1055"/>
      <c r="AU31" s="1055"/>
      <c r="AV31" s="1055"/>
      <c r="AW31" s="1055"/>
      <c r="AX31" s="1055"/>
      <c r="AY31" s="1055"/>
      <c r="AZ31" s="1055"/>
      <c r="BA31" s="1055"/>
      <c r="BB31" s="1055"/>
      <c r="BC31" s="1055"/>
      <c r="BD31" s="1055"/>
      <c r="BE31" s="1055"/>
      <c r="BF31" s="1055"/>
      <c r="BG31" s="1055"/>
      <c r="BH31" s="1055"/>
      <c r="BI31" s="1055"/>
      <c r="BJ31" s="1055"/>
      <c r="BK31" s="1055"/>
      <c r="BL31" s="1055"/>
      <c r="BM31" s="1055"/>
      <c r="BN31" s="1055"/>
      <c r="BO31" s="1055"/>
      <c r="BP31" s="1055"/>
      <c r="BQ31" s="1055"/>
      <c r="BR31" s="1055"/>
      <c r="BS31" s="1055"/>
      <c r="BT31" s="1055"/>
      <c r="BU31" s="1055"/>
      <c r="BV31" s="1056"/>
      <c r="BW31" s="1047">
        <f>'CH Equipe'!BD116</f>
        <v>4</v>
      </c>
      <c r="BX31" s="1044"/>
      <c r="BY31" s="1044"/>
      <c r="BZ31" s="1044"/>
      <c r="CA31" s="1044"/>
      <c r="CB31" s="1044"/>
      <c r="CC31" s="1044"/>
      <c r="CD31" s="1044"/>
      <c r="CE31" s="1044"/>
      <c r="CF31" s="70"/>
      <c r="CG31" s="70"/>
      <c r="CH31" s="961"/>
      <c r="CI31" s="961"/>
      <c r="CJ31" s="961"/>
      <c r="CK31" s="961"/>
      <c r="CL31" s="961"/>
      <c r="CM31" s="961"/>
      <c r="CN31" s="961"/>
      <c r="CO31" s="961"/>
      <c r="CP31" s="961"/>
      <c r="CQ31" s="961"/>
      <c r="CR31" s="961"/>
      <c r="CS31" s="961"/>
      <c r="CT31" s="70"/>
      <c r="CU31" s="1057">
        <f>SUM('[1]CH Equipe'!BE73:BM73)</f>
        <v>0</v>
      </c>
      <c r="CV31" s="1058"/>
      <c r="CW31" s="1058"/>
      <c r="CX31" s="1058"/>
      <c r="CY31" s="1058"/>
      <c r="CZ31" s="1058"/>
      <c r="DA31" s="1058"/>
      <c r="DB31" s="1058"/>
      <c r="DC31" s="1058"/>
      <c r="DD31" s="1058"/>
      <c r="DE31" s="1058"/>
      <c r="DF31" s="1059"/>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70"/>
      <c r="FK31" s="70"/>
      <c r="FL31" s="70"/>
      <c r="FM31" s="70"/>
      <c r="FN31" s="70"/>
      <c r="FO31" s="70"/>
      <c r="FP31" s="70"/>
      <c r="FQ31" s="70"/>
      <c r="FR31" s="70"/>
      <c r="FS31" s="70"/>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row>
    <row r="32" spans="5:208" s="68" customFormat="1" ht="13.5" customHeight="1" thickBot="1" x14ac:dyDescent="0.25">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70"/>
      <c r="CU32" s="47"/>
      <c r="CV32" s="47"/>
      <c r="CW32" s="47"/>
      <c r="CX32" s="47"/>
      <c r="CY32" s="47"/>
      <c r="CZ32" s="47"/>
      <c r="DA32" s="47"/>
      <c r="DB32" s="47"/>
      <c r="DC32" s="47"/>
      <c r="DD32" s="47"/>
      <c r="DE32" s="47"/>
      <c r="DF32" s="47"/>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row>
    <row r="33" spans="5:209" s="68" customFormat="1" ht="13.5" customHeight="1" thickTop="1" x14ac:dyDescent="0.2">
      <c r="E33" s="226"/>
      <c r="F33" s="226"/>
      <c r="G33" s="226"/>
      <c r="H33" s="226"/>
      <c r="I33" s="226"/>
      <c r="J33" s="226"/>
      <c r="K33" s="226"/>
      <c r="L33" s="226"/>
      <c r="M33" s="226"/>
      <c r="N33" s="226"/>
      <c r="O33" s="226"/>
      <c r="P33" s="226"/>
      <c r="Q33" s="226"/>
      <c r="R33" s="226"/>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47"/>
      <c r="CG33" s="47"/>
      <c r="CH33" s="47"/>
      <c r="CI33" s="47"/>
      <c r="CJ33" s="47"/>
      <c r="CK33" s="47"/>
      <c r="CL33" s="47"/>
      <c r="CM33" s="47"/>
      <c r="CN33" s="47"/>
      <c r="CO33" s="47"/>
      <c r="CP33" s="47"/>
      <c r="CQ33" s="47"/>
      <c r="CR33" s="47"/>
      <c r="CS33" s="47"/>
      <c r="CT33" s="70"/>
      <c r="CU33" s="47"/>
      <c r="CV33" s="47"/>
      <c r="CW33" s="47"/>
      <c r="CX33" s="47"/>
      <c r="CY33" s="47"/>
      <c r="CZ33" s="47"/>
      <c r="DA33" s="47"/>
      <c r="DB33" s="47"/>
      <c r="DC33" s="47"/>
      <c r="DD33" s="47"/>
      <c r="DE33" s="47"/>
      <c r="DF33" s="47"/>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row>
    <row r="34" spans="5:209" s="68" customFormat="1" ht="41.25" customHeight="1" x14ac:dyDescent="0.2">
      <c r="E34" s="1054" t="s">
        <v>659</v>
      </c>
      <c r="F34" s="1054"/>
      <c r="G34" s="1054"/>
      <c r="H34" s="1054"/>
      <c r="I34" s="1054"/>
      <c r="J34" s="1054"/>
      <c r="K34" s="1054"/>
      <c r="L34" s="1054"/>
      <c r="M34" s="1054"/>
      <c r="N34" s="1054"/>
      <c r="O34" s="1054"/>
      <c r="P34" s="1054"/>
      <c r="S34" s="1063" t="s">
        <v>660</v>
      </c>
      <c r="T34" s="1063"/>
      <c r="U34" s="1063"/>
      <c r="V34" s="1063"/>
      <c r="W34" s="1063"/>
      <c r="X34" s="1063"/>
      <c r="Y34" s="1063"/>
      <c r="Z34" s="1063"/>
      <c r="AA34" s="1063"/>
      <c r="AB34" s="1063"/>
      <c r="AC34" s="1063"/>
      <c r="AD34" s="1063"/>
      <c r="AE34" s="1063"/>
      <c r="AF34" s="1063"/>
      <c r="AG34" s="1063"/>
      <c r="AH34" s="1063"/>
      <c r="AI34" s="1063"/>
      <c r="AJ34" s="1063"/>
      <c r="AK34" s="1063"/>
      <c r="AL34" s="1063"/>
      <c r="AM34" s="1063"/>
      <c r="AN34" s="1063"/>
      <c r="AO34" s="1063"/>
      <c r="AP34" s="1063"/>
      <c r="AQ34" s="1063"/>
      <c r="AR34" s="1063"/>
      <c r="AS34" s="1063"/>
      <c r="AT34" s="1063"/>
      <c r="AU34" s="1063"/>
      <c r="AV34" s="1063"/>
      <c r="AW34" s="1063"/>
      <c r="AX34" s="1063"/>
      <c r="AY34" s="1063"/>
      <c r="AZ34" s="1063"/>
      <c r="BA34" s="1063"/>
      <c r="BB34" s="1063"/>
      <c r="BC34" s="70"/>
      <c r="BD34" s="1063" t="s">
        <v>670</v>
      </c>
      <c r="BE34" s="1063"/>
      <c r="BF34" s="1063"/>
      <c r="BG34" s="1063"/>
      <c r="BH34" s="1063"/>
      <c r="BI34" s="1063"/>
      <c r="BJ34" s="1063"/>
      <c r="BK34" s="1063"/>
      <c r="BL34" s="1063"/>
      <c r="BM34" s="70"/>
      <c r="BN34" s="1063" t="s">
        <v>661</v>
      </c>
      <c r="BO34" s="1063"/>
      <c r="BP34" s="1063"/>
      <c r="BQ34" s="1063"/>
      <c r="BR34" s="1063"/>
      <c r="BS34" s="1063"/>
      <c r="BT34" s="1063"/>
      <c r="BU34" s="1063"/>
      <c r="BV34" s="1063"/>
      <c r="BW34" s="1063" t="s">
        <v>662</v>
      </c>
      <c r="BX34" s="1063"/>
      <c r="BY34" s="1063"/>
      <c r="BZ34" s="1063"/>
      <c r="CA34" s="1063"/>
      <c r="CB34" s="1063"/>
      <c r="CC34" s="1063"/>
      <c r="CD34" s="1063"/>
      <c r="CE34" s="1063"/>
      <c r="CF34" s="76"/>
      <c r="CG34" s="70"/>
      <c r="CH34" s="1052" t="s">
        <v>671</v>
      </c>
      <c r="CI34" s="1052"/>
      <c r="CJ34" s="1052"/>
      <c r="CK34" s="1052"/>
      <c r="CL34" s="1052"/>
      <c r="CM34" s="1052"/>
      <c r="CN34" s="1052"/>
      <c r="CO34" s="1052"/>
      <c r="CP34" s="1052"/>
      <c r="CQ34" s="1052"/>
      <c r="CR34" s="1052"/>
      <c r="CS34" s="1053"/>
      <c r="CT34" s="70"/>
      <c r="CU34" s="1052" t="s">
        <v>672</v>
      </c>
      <c r="CV34" s="1052"/>
      <c r="CW34" s="1052"/>
      <c r="CX34" s="1052"/>
      <c r="CY34" s="1052"/>
      <c r="CZ34" s="1052"/>
      <c r="DA34" s="1052"/>
      <c r="DB34" s="1052"/>
      <c r="DC34" s="1052"/>
      <c r="DD34" s="1052"/>
      <c r="DE34" s="1052"/>
      <c r="DF34" s="1053"/>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941"/>
      <c r="FK34" s="941"/>
      <c r="FL34" s="941"/>
      <c r="FM34" s="941"/>
      <c r="FN34" s="941"/>
      <c r="FO34" s="941"/>
      <c r="FP34" s="941"/>
      <c r="FQ34" s="941"/>
      <c r="FR34" s="941"/>
      <c r="FS34" s="941"/>
      <c r="FT34" s="75"/>
      <c r="FU34" s="75"/>
      <c r="FV34" s="75"/>
      <c r="FW34" s="75"/>
      <c r="FX34" s="75"/>
      <c r="FY34" s="75"/>
      <c r="FZ34" s="75"/>
      <c r="GA34" s="75"/>
      <c r="GB34" s="75"/>
      <c r="GC34" s="75"/>
      <c r="GD34" s="941"/>
      <c r="GE34" s="941"/>
      <c r="GF34" s="76"/>
      <c r="GG34" s="76"/>
      <c r="GH34" s="76"/>
      <c r="GI34" s="76"/>
      <c r="GJ34" s="76"/>
      <c r="GK34" s="76"/>
      <c r="GL34" s="76"/>
      <c r="GM34" s="76"/>
      <c r="GN34" s="76"/>
      <c r="GO34" s="941"/>
      <c r="GP34" s="941"/>
      <c r="GQ34" s="76"/>
      <c r="GR34" s="76"/>
      <c r="GS34" s="76"/>
      <c r="GT34" s="76"/>
      <c r="GU34" s="76"/>
      <c r="GV34" s="76"/>
      <c r="GW34" s="76"/>
      <c r="GX34" s="76"/>
      <c r="GY34" s="941"/>
      <c r="GZ34" s="941"/>
      <c r="HA34" s="66"/>
    </row>
    <row r="35" spans="5:209" s="68" customFormat="1" ht="13.5" customHeight="1" x14ac:dyDescent="0.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70"/>
      <c r="CU35" s="47"/>
      <c r="CV35" s="47"/>
      <c r="CW35" s="47"/>
      <c r="CX35" s="47"/>
      <c r="CY35" s="47"/>
      <c r="CZ35" s="47"/>
      <c r="DA35" s="47"/>
      <c r="DB35" s="47"/>
      <c r="DC35" s="47"/>
      <c r="DD35" s="47"/>
      <c r="DE35" s="47"/>
      <c r="DF35" s="47"/>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row>
    <row r="36" spans="5:209" s="68" customFormat="1" ht="20.100000000000001" customHeight="1" x14ac:dyDescent="0.2">
      <c r="E36" s="1063" t="s">
        <v>16</v>
      </c>
      <c r="F36" s="1063"/>
      <c r="G36" s="1063"/>
      <c r="H36" s="1063"/>
      <c r="I36" s="1063"/>
      <c r="J36" s="1063"/>
      <c r="K36" s="1063"/>
      <c r="L36" s="1063"/>
      <c r="M36" s="1063"/>
      <c r="N36" s="1063"/>
      <c r="O36" s="1063"/>
      <c r="P36" s="1063"/>
      <c r="Q36" s="78"/>
      <c r="R36" s="225"/>
      <c r="S36" s="1070" t="s">
        <v>663</v>
      </c>
      <c r="T36" s="1070"/>
      <c r="U36" s="1070"/>
      <c r="V36" s="1070"/>
      <c r="W36" s="1055" t="s">
        <v>6</v>
      </c>
      <c r="X36" s="1055"/>
      <c r="Y36" s="1055"/>
      <c r="Z36" s="1055"/>
      <c r="AA36" s="1055"/>
      <c r="AB36" s="1055"/>
      <c r="AC36" s="1055"/>
      <c r="AD36" s="1055"/>
      <c r="AE36" s="1055"/>
      <c r="AF36" s="1055"/>
      <c r="AG36" s="1055"/>
      <c r="AH36" s="1055"/>
      <c r="AI36" s="1055"/>
      <c r="AJ36" s="1055"/>
      <c r="AK36" s="1055"/>
      <c r="AL36" s="1055" t="s">
        <v>664</v>
      </c>
      <c r="AM36" s="1055"/>
      <c r="AN36" s="1055"/>
      <c r="AO36" s="1055"/>
      <c r="AP36" s="1055"/>
      <c r="AQ36" s="1055"/>
      <c r="AR36" s="1055"/>
      <c r="AS36" s="1055"/>
      <c r="AT36" s="1055"/>
      <c r="AU36" s="1055"/>
      <c r="AV36" s="1055"/>
      <c r="AW36" s="1055"/>
      <c r="AX36" s="1055"/>
      <c r="AY36" s="1055"/>
      <c r="AZ36" s="1055"/>
      <c r="BA36" s="1055"/>
      <c r="BB36" s="1055"/>
      <c r="BC36" s="70"/>
      <c r="BD36" s="1044">
        <f>'CH Equipe'!AH99</f>
        <v>15</v>
      </c>
      <c r="BE36" s="1044"/>
      <c r="BF36" s="1044"/>
      <c r="BG36" s="1044"/>
      <c r="BH36" s="1044"/>
      <c r="BI36" s="1044"/>
      <c r="BJ36" s="1044"/>
      <c r="BK36" s="1044"/>
      <c r="BL36" s="1044"/>
      <c r="BM36" s="70"/>
      <c r="BN36" s="1044">
        <f>'CH Equipe'!AH14</f>
        <v>60</v>
      </c>
      <c r="BO36" s="1044"/>
      <c r="BP36" s="1044"/>
      <c r="BQ36" s="1044"/>
      <c r="BR36" s="1044"/>
      <c r="BS36" s="1044"/>
      <c r="BT36" s="1044"/>
      <c r="BU36" s="1044"/>
      <c r="BV36" s="1044"/>
      <c r="BW36" s="1051">
        <f>BN36/11/4</f>
        <v>1.3636363636363635</v>
      </c>
      <c r="BX36" s="1051"/>
      <c r="BY36" s="1051"/>
      <c r="BZ36" s="1051"/>
      <c r="CA36" s="1051"/>
      <c r="CB36" s="1051"/>
      <c r="CC36" s="1051"/>
      <c r="CD36" s="1051"/>
      <c r="CE36" s="1051"/>
      <c r="CF36" s="70">
        <f>ROUND(BW36,0)</f>
        <v>1</v>
      </c>
      <c r="CG36" s="70"/>
      <c r="CH36" s="923" t="e">
        <f>CF36*#REF!</f>
        <v>#REF!</v>
      </c>
      <c r="CI36" s="913"/>
      <c r="CJ36" s="913"/>
      <c r="CK36" s="913"/>
      <c r="CL36" s="913"/>
      <c r="CM36" s="913"/>
      <c r="CN36" s="913"/>
      <c r="CO36" s="913"/>
      <c r="CP36" s="913"/>
      <c r="CQ36" s="913"/>
      <c r="CR36" s="913"/>
      <c r="CS36" s="914"/>
      <c r="CT36" s="70"/>
      <c r="CU36" s="1041" t="e">
        <f>CH36/60</f>
        <v>#REF!</v>
      </c>
      <c r="CV36" s="1042"/>
      <c r="CW36" s="1042"/>
      <c r="CX36" s="1042"/>
      <c r="CY36" s="1042"/>
      <c r="CZ36" s="1042"/>
      <c r="DA36" s="1042"/>
      <c r="DB36" s="1042"/>
      <c r="DC36" s="1042"/>
      <c r="DD36" s="1042"/>
      <c r="DE36" s="1042"/>
      <c r="DF36" s="1043"/>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70"/>
      <c r="FK36" s="70"/>
      <c r="FL36" s="70"/>
      <c r="FM36" s="70"/>
      <c r="FN36" s="70"/>
      <c r="FO36" s="70"/>
      <c r="FP36" s="70"/>
      <c r="FQ36" s="70"/>
      <c r="FR36" s="70"/>
      <c r="FS36" s="70"/>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row>
    <row r="37" spans="5:209" s="68" customFormat="1" ht="20.100000000000001" customHeight="1" x14ac:dyDescent="0.2">
      <c r="E37" s="1063"/>
      <c r="F37" s="1063"/>
      <c r="G37" s="1063"/>
      <c r="H37" s="1063"/>
      <c r="I37" s="1063"/>
      <c r="J37" s="1063"/>
      <c r="K37" s="1063"/>
      <c r="L37" s="1063"/>
      <c r="M37" s="1063"/>
      <c r="N37" s="1063"/>
      <c r="O37" s="1063"/>
      <c r="P37" s="1063"/>
      <c r="Q37" s="81"/>
      <c r="R37" s="225"/>
      <c r="S37" s="1070"/>
      <c r="T37" s="1070"/>
      <c r="U37" s="1070"/>
      <c r="V37" s="1070"/>
      <c r="W37" s="1055"/>
      <c r="X37" s="1055"/>
      <c r="Y37" s="1055"/>
      <c r="Z37" s="1055"/>
      <c r="AA37" s="1055"/>
      <c r="AB37" s="1055"/>
      <c r="AC37" s="1055"/>
      <c r="AD37" s="1055"/>
      <c r="AE37" s="1055"/>
      <c r="AF37" s="1055"/>
      <c r="AG37" s="1055"/>
      <c r="AH37" s="1055"/>
      <c r="AI37" s="1055"/>
      <c r="AJ37" s="1055"/>
      <c r="AK37" s="1055"/>
      <c r="AL37" s="1055" t="s">
        <v>665</v>
      </c>
      <c r="AM37" s="1055"/>
      <c r="AN37" s="1055"/>
      <c r="AO37" s="1055"/>
      <c r="AP37" s="1055"/>
      <c r="AQ37" s="1055"/>
      <c r="AR37" s="1055"/>
      <c r="AS37" s="1055"/>
      <c r="AT37" s="1055"/>
      <c r="AU37" s="1055"/>
      <c r="AV37" s="1055"/>
      <c r="AW37" s="1055"/>
      <c r="AX37" s="1055"/>
      <c r="AY37" s="1055"/>
      <c r="AZ37" s="1055"/>
      <c r="BA37" s="1055"/>
      <c r="BB37" s="1055"/>
      <c r="BC37" s="70"/>
      <c r="BD37" s="1044">
        <f>'CH Equipe'!AQ99</f>
        <v>15</v>
      </c>
      <c r="BE37" s="1044"/>
      <c r="BF37" s="1044"/>
      <c r="BG37" s="1044"/>
      <c r="BH37" s="1044"/>
      <c r="BI37" s="1044"/>
      <c r="BJ37" s="1044"/>
      <c r="BK37" s="1044"/>
      <c r="BL37" s="1044"/>
      <c r="BM37" s="70"/>
      <c r="BN37" s="1044">
        <f>'CH Equipe'!AQ14</f>
        <v>177</v>
      </c>
      <c r="BO37" s="1044"/>
      <c r="BP37" s="1044"/>
      <c r="BQ37" s="1044"/>
      <c r="BR37" s="1044"/>
      <c r="BS37" s="1044"/>
      <c r="BT37" s="1044"/>
      <c r="BU37" s="1044"/>
      <c r="BV37" s="1044"/>
      <c r="BW37" s="1051">
        <f>BN37/11/4</f>
        <v>4.0227272727272725</v>
      </c>
      <c r="BX37" s="1051"/>
      <c r="BY37" s="1051"/>
      <c r="BZ37" s="1051"/>
      <c r="CA37" s="1051"/>
      <c r="CB37" s="1051"/>
      <c r="CC37" s="1051"/>
      <c r="CD37" s="1051"/>
      <c r="CE37" s="1051"/>
      <c r="CF37" s="70">
        <f t="shared" ref="CF37:CF46" si="5">ROUND(BW37,0)</f>
        <v>4</v>
      </c>
      <c r="CG37" s="70"/>
      <c r="CH37" s="963" t="e">
        <f>CF37*#REF!</f>
        <v>#REF!</v>
      </c>
      <c r="CI37" s="924"/>
      <c r="CJ37" s="924"/>
      <c r="CK37" s="924"/>
      <c r="CL37" s="924"/>
      <c r="CM37" s="924"/>
      <c r="CN37" s="924"/>
      <c r="CO37" s="924"/>
      <c r="CP37" s="924"/>
      <c r="CQ37" s="924"/>
      <c r="CR37" s="924"/>
      <c r="CS37" s="962"/>
      <c r="CT37" s="70"/>
      <c r="CU37" s="1067" t="e">
        <f>CH37/60</f>
        <v>#REF!</v>
      </c>
      <c r="CV37" s="1068"/>
      <c r="CW37" s="1068"/>
      <c r="CX37" s="1068"/>
      <c r="CY37" s="1068"/>
      <c r="CZ37" s="1068"/>
      <c r="DA37" s="1068"/>
      <c r="DB37" s="1068"/>
      <c r="DC37" s="1068"/>
      <c r="DD37" s="1068"/>
      <c r="DE37" s="1068"/>
      <c r="DF37" s="1069"/>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70"/>
      <c r="FK37" s="70"/>
      <c r="FL37" s="70"/>
      <c r="FM37" s="70"/>
      <c r="FN37" s="70"/>
      <c r="FO37" s="70"/>
      <c r="FP37" s="70"/>
      <c r="FQ37" s="70"/>
      <c r="FR37" s="70"/>
      <c r="FS37" s="70"/>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row>
    <row r="38" spans="5:209" s="68" customFormat="1" ht="20.100000000000001" customHeight="1" x14ac:dyDescent="0.2">
      <c r="E38" s="1063"/>
      <c r="F38" s="1063"/>
      <c r="G38" s="1063"/>
      <c r="H38" s="1063"/>
      <c r="I38" s="1063"/>
      <c r="J38" s="1063"/>
      <c r="K38" s="1063"/>
      <c r="L38" s="1063"/>
      <c r="M38" s="1063"/>
      <c r="N38" s="1063"/>
      <c r="O38" s="1063"/>
      <c r="P38" s="1063"/>
      <c r="Q38" s="81"/>
      <c r="R38" s="225"/>
      <c r="S38" s="1070"/>
      <c r="T38" s="1070"/>
      <c r="U38" s="1070"/>
      <c r="V38" s="1070"/>
      <c r="W38" s="1055" t="s">
        <v>12</v>
      </c>
      <c r="X38" s="1055"/>
      <c r="Y38" s="1055"/>
      <c r="Z38" s="1055"/>
      <c r="AA38" s="1055"/>
      <c r="AB38" s="1055"/>
      <c r="AC38" s="1055"/>
      <c r="AD38" s="1055"/>
      <c r="AE38" s="1055"/>
      <c r="AF38" s="1055"/>
      <c r="AG38" s="1055"/>
      <c r="AH38" s="1055"/>
      <c r="AI38" s="1055"/>
      <c r="AJ38" s="1055"/>
      <c r="AK38" s="1055"/>
      <c r="AL38" s="1055" t="s">
        <v>665</v>
      </c>
      <c r="AM38" s="1055"/>
      <c r="AN38" s="1055"/>
      <c r="AO38" s="1055"/>
      <c r="AP38" s="1055"/>
      <c r="AQ38" s="1055"/>
      <c r="AR38" s="1055"/>
      <c r="AS38" s="1055"/>
      <c r="AT38" s="1055"/>
      <c r="AU38" s="1055"/>
      <c r="AV38" s="1055"/>
      <c r="AW38" s="1055"/>
      <c r="AX38" s="1055"/>
      <c r="AY38" s="1055"/>
      <c r="AZ38" s="1055"/>
      <c r="BA38" s="1055"/>
      <c r="BB38" s="1055"/>
      <c r="BC38" s="70"/>
      <c r="BD38" s="1044">
        <f>BD37</f>
        <v>15</v>
      </c>
      <c r="BE38" s="1044"/>
      <c r="BF38" s="1044"/>
      <c r="BG38" s="1044"/>
      <c r="BH38" s="1044"/>
      <c r="BI38" s="1044"/>
      <c r="BJ38" s="1044"/>
      <c r="BK38" s="1044"/>
      <c r="BL38" s="1044"/>
      <c r="BM38" s="70"/>
      <c r="BN38" s="1044">
        <f>'CH Equipe'!AQ19</f>
        <v>120</v>
      </c>
      <c r="BO38" s="1044"/>
      <c r="BP38" s="1044"/>
      <c r="BQ38" s="1044"/>
      <c r="BR38" s="1044"/>
      <c r="BS38" s="1044"/>
      <c r="BT38" s="1044"/>
      <c r="BU38" s="1044"/>
      <c r="BV38" s="1044"/>
      <c r="BW38" s="1051">
        <f>BN38/11/4</f>
        <v>2.7272727272727271</v>
      </c>
      <c r="BX38" s="1051"/>
      <c r="BY38" s="1051"/>
      <c r="BZ38" s="1051"/>
      <c r="CA38" s="1051"/>
      <c r="CB38" s="1051"/>
      <c r="CC38" s="1051"/>
      <c r="CD38" s="1051"/>
      <c r="CE38" s="1051"/>
      <c r="CF38" s="70"/>
      <c r="CG38" s="70"/>
      <c r="CH38" s="211"/>
      <c r="CI38" s="212"/>
      <c r="CJ38" s="212"/>
      <c r="CK38" s="212"/>
      <c r="CL38" s="212"/>
      <c r="CM38" s="212"/>
      <c r="CN38" s="212"/>
      <c r="CO38" s="212"/>
      <c r="CP38" s="212"/>
      <c r="CQ38" s="212"/>
      <c r="CR38" s="212"/>
      <c r="CS38" s="213"/>
      <c r="CT38" s="70"/>
      <c r="CU38" s="228"/>
      <c r="CV38" s="229"/>
      <c r="CW38" s="229"/>
      <c r="CX38" s="229"/>
      <c r="CY38" s="229"/>
      <c r="CZ38" s="229"/>
      <c r="DA38" s="229"/>
      <c r="DB38" s="229"/>
      <c r="DC38" s="229"/>
      <c r="DD38" s="229"/>
      <c r="DE38" s="229"/>
      <c r="DF38" s="230"/>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70"/>
      <c r="FK38" s="70"/>
      <c r="FL38" s="70"/>
      <c r="FM38" s="70"/>
      <c r="FN38" s="70"/>
      <c r="FO38" s="70"/>
      <c r="FP38" s="70"/>
      <c r="FQ38" s="70"/>
      <c r="FR38" s="70"/>
      <c r="FS38" s="70"/>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row>
    <row r="39" spans="5:209" s="68" customFormat="1" ht="20.100000000000001" customHeight="1" x14ac:dyDescent="0.2">
      <c r="E39" s="1063"/>
      <c r="F39" s="1063"/>
      <c r="G39" s="1063"/>
      <c r="H39" s="1063"/>
      <c r="I39" s="1063"/>
      <c r="J39" s="1063"/>
      <c r="K39" s="1063"/>
      <c r="L39" s="1063"/>
      <c r="M39" s="1063"/>
      <c r="N39" s="1063"/>
      <c r="O39" s="1063"/>
      <c r="P39" s="1063"/>
      <c r="Q39" s="78"/>
      <c r="R39" s="225"/>
      <c r="S39" s="1070"/>
      <c r="T39" s="1070"/>
      <c r="U39" s="1070"/>
      <c r="V39" s="1070"/>
      <c r="W39" s="1055" t="s">
        <v>673</v>
      </c>
      <c r="X39" s="1055"/>
      <c r="Y39" s="1055"/>
      <c r="Z39" s="1055"/>
      <c r="AA39" s="1055"/>
      <c r="AB39" s="1055"/>
      <c r="AC39" s="1055"/>
      <c r="AD39" s="1055"/>
      <c r="AE39" s="1055"/>
      <c r="AF39" s="1055"/>
      <c r="AG39" s="1055"/>
      <c r="AH39" s="1055"/>
      <c r="AI39" s="1055"/>
      <c r="AJ39" s="1055"/>
      <c r="AK39" s="1055"/>
      <c r="AL39" s="1055" t="s">
        <v>664</v>
      </c>
      <c r="AM39" s="1055"/>
      <c r="AN39" s="1055"/>
      <c r="AO39" s="1055"/>
      <c r="AP39" s="1055"/>
      <c r="AQ39" s="1055"/>
      <c r="AR39" s="1055"/>
      <c r="AS39" s="1055"/>
      <c r="AT39" s="1055"/>
      <c r="AU39" s="1055"/>
      <c r="AV39" s="1055"/>
      <c r="AW39" s="1055"/>
      <c r="AX39" s="1055"/>
      <c r="AY39" s="1055"/>
      <c r="AZ39" s="1055"/>
      <c r="BA39" s="1055"/>
      <c r="BB39" s="1055"/>
      <c r="BC39" s="70"/>
      <c r="BD39" s="1044">
        <f>BD36</f>
        <v>15</v>
      </c>
      <c r="BE39" s="1044"/>
      <c r="BF39" s="1044"/>
      <c r="BG39" s="1044"/>
      <c r="BH39" s="1044"/>
      <c r="BI39" s="1044"/>
      <c r="BJ39" s="1044"/>
      <c r="BK39" s="1044"/>
      <c r="BL39" s="1044"/>
      <c r="BM39" s="70"/>
      <c r="BN39" s="1044">
        <f>'CH Equipe'!AH23</f>
        <v>103.76349999999999</v>
      </c>
      <c r="BO39" s="1044"/>
      <c r="BP39" s="1044"/>
      <c r="BQ39" s="1044"/>
      <c r="BR39" s="1044"/>
      <c r="BS39" s="1044"/>
      <c r="BT39" s="1044"/>
      <c r="BU39" s="1044"/>
      <c r="BV39" s="1044"/>
      <c r="BW39" s="1051">
        <f t="shared" ref="BW39:BW46" si="6">BN39/11/4</f>
        <v>2.3582613636363634</v>
      </c>
      <c r="BX39" s="1051"/>
      <c r="BY39" s="1051"/>
      <c r="BZ39" s="1051"/>
      <c r="CA39" s="1051"/>
      <c r="CB39" s="1051"/>
      <c r="CC39" s="1051"/>
      <c r="CD39" s="1051"/>
      <c r="CE39" s="1051"/>
      <c r="CF39" s="70">
        <f t="shared" si="5"/>
        <v>2</v>
      </c>
      <c r="CG39" s="70"/>
      <c r="CH39" s="963" t="e">
        <f>CF39*#REF!</f>
        <v>#REF!</v>
      </c>
      <c r="CI39" s="924"/>
      <c r="CJ39" s="924"/>
      <c r="CK39" s="924"/>
      <c r="CL39" s="924"/>
      <c r="CM39" s="924"/>
      <c r="CN39" s="924"/>
      <c r="CO39" s="924"/>
      <c r="CP39" s="924"/>
      <c r="CQ39" s="924"/>
      <c r="CR39" s="924"/>
      <c r="CS39" s="962"/>
      <c r="CT39" s="70"/>
      <c r="CU39" s="1067" t="e">
        <f t="shared" ref="CU39:CU45" si="7">CH39/60</f>
        <v>#REF!</v>
      </c>
      <c r="CV39" s="1068"/>
      <c r="CW39" s="1068"/>
      <c r="CX39" s="1068"/>
      <c r="CY39" s="1068"/>
      <c r="CZ39" s="1068"/>
      <c r="DA39" s="1068"/>
      <c r="DB39" s="1068"/>
      <c r="DC39" s="1068"/>
      <c r="DD39" s="1068"/>
      <c r="DE39" s="1068"/>
      <c r="DF39" s="1069"/>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70"/>
      <c r="FK39" s="70"/>
      <c r="FL39" s="70"/>
      <c r="FM39" s="70"/>
      <c r="FN39" s="70"/>
      <c r="FO39" s="70"/>
      <c r="FP39" s="70"/>
      <c r="FQ39" s="70"/>
      <c r="FR39" s="70"/>
      <c r="FS39" s="70"/>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row>
    <row r="40" spans="5:209" s="68" customFormat="1" ht="20.100000000000001" customHeight="1" x14ac:dyDescent="0.2">
      <c r="E40" s="1063"/>
      <c r="F40" s="1063"/>
      <c r="G40" s="1063"/>
      <c r="H40" s="1063"/>
      <c r="I40" s="1063"/>
      <c r="J40" s="1063"/>
      <c r="K40" s="1063"/>
      <c r="L40" s="1063"/>
      <c r="M40" s="1063"/>
      <c r="N40" s="1063"/>
      <c r="O40" s="1063"/>
      <c r="P40" s="1063"/>
      <c r="Q40" s="81"/>
      <c r="R40" s="225"/>
      <c r="S40" s="1070"/>
      <c r="T40" s="1070"/>
      <c r="U40" s="1070"/>
      <c r="V40" s="1070"/>
      <c r="W40" s="1055"/>
      <c r="X40" s="1055"/>
      <c r="Y40" s="1055"/>
      <c r="Z40" s="1055"/>
      <c r="AA40" s="1055"/>
      <c r="AB40" s="1055"/>
      <c r="AC40" s="1055"/>
      <c r="AD40" s="1055"/>
      <c r="AE40" s="1055"/>
      <c r="AF40" s="1055"/>
      <c r="AG40" s="1055"/>
      <c r="AH40" s="1055"/>
      <c r="AI40" s="1055"/>
      <c r="AJ40" s="1055"/>
      <c r="AK40" s="1055"/>
      <c r="AL40" s="1055" t="s">
        <v>665</v>
      </c>
      <c r="AM40" s="1055"/>
      <c r="AN40" s="1055"/>
      <c r="AO40" s="1055"/>
      <c r="AP40" s="1055"/>
      <c r="AQ40" s="1055"/>
      <c r="AR40" s="1055"/>
      <c r="AS40" s="1055"/>
      <c r="AT40" s="1055"/>
      <c r="AU40" s="1055"/>
      <c r="AV40" s="1055"/>
      <c r="AW40" s="1055"/>
      <c r="AX40" s="1055"/>
      <c r="AY40" s="1055"/>
      <c r="AZ40" s="1055"/>
      <c r="BA40" s="1055"/>
      <c r="BB40" s="1055"/>
      <c r="BC40" s="70"/>
      <c r="BD40" s="1044">
        <f>BD37</f>
        <v>15</v>
      </c>
      <c r="BE40" s="1044"/>
      <c r="BF40" s="1044"/>
      <c r="BG40" s="1044"/>
      <c r="BH40" s="1044"/>
      <c r="BI40" s="1044"/>
      <c r="BJ40" s="1044"/>
      <c r="BK40" s="1044"/>
      <c r="BL40" s="1044"/>
      <c r="BM40" s="70"/>
      <c r="BN40" s="1044">
        <f>'CH Equipe'!AQ24+'CH Equipe'!AQ25</f>
        <v>311.29049999999995</v>
      </c>
      <c r="BO40" s="1044"/>
      <c r="BP40" s="1044"/>
      <c r="BQ40" s="1044"/>
      <c r="BR40" s="1044"/>
      <c r="BS40" s="1044"/>
      <c r="BT40" s="1044"/>
      <c r="BU40" s="1044"/>
      <c r="BV40" s="1044"/>
      <c r="BW40" s="1051">
        <f t="shared" si="6"/>
        <v>7.0747840909090902</v>
      </c>
      <c r="BX40" s="1051"/>
      <c r="BY40" s="1051"/>
      <c r="BZ40" s="1051"/>
      <c r="CA40" s="1051"/>
      <c r="CB40" s="1051"/>
      <c r="CC40" s="1051"/>
      <c r="CD40" s="1051"/>
      <c r="CE40" s="1051"/>
      <c r="CF40" s="70">
        <f t="shared" si="5"/>
        <v>7</v>
      </c>
      <c r="CG40" s="70"/>
      <c r="CH40" s="963" t="e">
        <f>CF40*#REF!</f>
        <v>#REF!</v>
      </c>
      <c r="CI40" s="924"/>
      <c r="CJ40" s="924"/>
      <c r="CK40" s="924"/>
      <c r="CL40" s="924"/>
      <c r="CM40" s="924"/>
      <c r="CN40" s="924"/>
      <c r="CO40" s="924"/>
      <c r="CP40" s="924"/>
      <c r="CQ40" s="924"/>
      <c r="CR40" s="924"/>
      <c r="CS40" s="962"/>
      <c r="CT40" s="70"/>
      <c r="CU40" s="1067" t="e">
        <f t="shared" si="7"/>
        <v>#REF!</v>
      </c>
      <c r="CV40" s="1068"/>
      <c r="CW40" s="1068"/>
      <c r="CX40" s="1068"/>
      <c r="CY40" s="1068"/>
      <c r="CZ40" s="1068"/>
      <c r="DA40" s="1068"/>
      <c r="DB40" s="1068"/>
      <c r="DC40" s="1068"/>
      <c r="DD40" s="1068"/>
      <c r="DE40" s="1068"/>
      <c r="DF40" s="1069"/>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70"/>
      <c r="FK40" s="70"/>
      <c r="FL40" s="70"/>
      <c r="FM40" s="70"/>
      <c r="FN40" s="70"/>
      <c r="FO40" s="70"/>
      <c r="FP40" s="70"/>
      <c r="FQ40" s="70"/>
      <c r="FR40" s="70"/>
      <c r="FS40" s="70"/>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row>
    <row r="41" spans="5:209" s="68" customFormat="1" ht="20.100000000000001" customHeight="1" x14ac:dyDescent="0.2">
      <c r="E41" s="1063"/>
      <c r="F41" s="1063"/>
      <c r="G41" s="1063"/>
      <c r="H41" s="1063"/>
      <c r="I41" s="1063"/>
      <c r="J41" s="1063"/>
      <c r="K41" s="1063"/>
      <c r="L41" s="1063"/>
      <c r="M41" s="1063"/>
      <c r="N41" s="1063"/>
      <c r="O41" s="1063"/>
      <c r="P41" s="1063"/>
      <c r="Q41" s="78"/>
      <c r="R41" s="225"/>
      <c r="S41" s="1070"/>
      <c r="T41" s="1070"/>
      <c r="U41" s="1070"/>
      <c r="V41" s="1070"/>
      <c r="W41" s="1055" t="s">
        <v>674</v>
      </c>
      <c r="X41" s="1055"/>
      <c r="Y41" s="1055"/>
      <c r="Z41" s="1055"/>
      <c r="AA41" s="1055"/>
      <c r="AB41" s="1055"/>
      <c r="AC41" s="1055"/>
      <c r="AD41" s="1055"/>
      <c r="AE41" s="1055"/>
      <c r="AF41" s="1055"/>
      <c r="AG41" s="1055"/>
      <c r="AH41" s="1055"/>
      <c r="AI41" s="1055"/>
      <c r="AJ41" s="1055"/>
      <c r="AK41" s="1055"/>
      <c r="AL41" s="1055" t="s">
        <v>664</v>
      </c>
      <c r="AM41" s="1055"/>
      <c r="AN41" s="1055"/>
      <c r="AO41" s="1055"/>
      <c r="AP41" s="1055"/>
      <c r="AQ41" s="1055"/>
      <c r="AR41" s="1055"/>
      <c r="AS41" s="1055"/>
      <c r="AT41" s="1055"/>
      <c r="AU41" s="1055"/>
      <c r="AV41" s="1055"/>
      <c r="AW41" s="1055"/>
      <c r="AX41" s="1055"/>
      <c r="AY41" s="1055"/>
      <c r="AZ41" s="1055"/>
      <c r="BA41" s="1055"/>
      <c r="BB41" s="1055"/>
      <c r="BC41" s="70"/>
      <c r="BD41" s="1044">
        <f>BD36</f>
        <v>15</v>
      </c>
      <c r="BE41" s="1044"/>
      <c r="BF41" s="1044"/>
      <c r="BG41" s="1044"/>
      <c r="BH41" s="1044"/>
      <c r="BI41" s="1044"/>
      <c r="BJ41" s="1044"/>
      <c r="BK41" s="1044"/>
      <c r="BL41" s="1044"/>
      <c r="BM41" s="70"/>
      <c r="BN41" s="1044">
        <f>'CH Equipe'!AH28</f>
        <v>283.7</v>
      </c>
      <c r="BO41" s="1044"/>
      <c r="BP41" s="1044"/>
      <c r="BQ41" s="1044"/>
      <c r="BR41" s="1044"/>
      <c r="BS41" s="1044"/>
      <c r="BT41" s="1044"/>
      <c r="BU41" s="1044"/>
      <c r="BV41" s="1044"/>
      <c r="BW41" s="1051">
        <f t="shared" si="6"/>
        <v>6.4477272727272723</v>
      </c>
      <c r="BX41" s="1051"/>
      <c r="BY41" s="1051"/>
      <c r="BZ41" s="1051"/>
      <c r="CA41" s="1051"/>
      <c r="CB41" s="1051"/>
      <c r="CC41" s="1051"/>
      <c r="CD41" s="1051"/>
      <c r="CE41" s="1051"/>
      <c r="CF41" s="70">
        <f t="shared" si="5"/>
        <v>6</v>
      </c>
      <c r="CG41" s="70"/>
      <c r="CH41" s="963" t="e">
        <f>CF41*#REF!</f>
        <v>#REF!</v>
      </c>
      <c r="CI41" s="924"/>
      <c r="CJ41" s="924"/>
      <c r="CK41" s="924"/>
      <c r="CL41" s="924"/>
      <c r="CM41" s="924"/>
      <c r="CN41" s="924"/>
      <c r="CO41" s="924"/>
      <c r="CP41" s="924"/>
      <c r="CQ41" s="924"/>
      <c r="CR41" s="924"/>
      <c r="CS41" s="962"/>
      <c r="CT41" s="70"/>
      <c r="CU41" s="1067" t="e">
        <f t="shared" si="7"/>
        <v>#REF!</v>
      </c>
      <c r="CV41" s="1068"/>
      <c r="CW41" s="1068"/>
      <c r="CX41" s="1068"/>
      <c r="CY41" s="1068"/>
      <c r="CZ41" s="1068"/>
      <c r="DA41" s="1068"/>
      <c r="DB41" s="1068"/>
      <c r="DC41" s="1068"/>
      <c r="DD41" s="1068"/>
      <c r="DE41" s="1068"/>
      <c r="DF41" s="1069"/>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70"/>
      <c r="FK41" s="70"/>
      <c r="FL41" s="70"/>
      <c r="FM41" s="70"/>
      <c r="FN41" s="70"/>
      <c r="FO41" s="70"/>
      <c r="FP41" s="70"/>
      <c r="FQ41" s="70"/>
      <c r="FR41" s="70"/>
      <c r="FS41" s="70"/>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row>
    <row r="42" spans="5:209" s="68" customFormat="1" ht="20.100000000000001" customHeight="1" x14ac:dyDescent="0.2">
      <c r="E42" s="1063"/>
      <c r="F42" s="1063"/>
      <c r="G42" s="1063"/>
      <c r="H42" s="1063"/>
      <c r="I42" s="1063"/>
      <c r="J42" s="1063"/>
      <c r="K42" s="1063"/>
      <c r="L42" s="1063"/>
      <c r="M42" s="1063"/>
      <c r="N42" s="1063"/>
      <c r="O42" s="1063"/>
      <c r="P42" s="1063"/>
      <c r="Q42" s="81"/>
      <c r="R42" s="225"/>
      <c r="S42" s="1070"/>
      <c r="T42" s="1070"/>
      <c r="U42" s="1070"/>
      <c r="V42" s="1070"/>
      <c r="W42" s="1055"/>
      <c r="X42" s="1055"/>
      <c r="Y42" s="1055"/>
      <c r="Z42" s="1055"/>
      <c r="AA42" s="1055"/>
      <c r="AB42" s="1055"/>
      <c r="AC42" s="1055"/>
      <c r="AD42" s="1055"/>
      <c r="AE42" s="1055"/>
      <c r="AF42" s="1055"/>
      <c r="AG42" s="1055"/>
      <c r="AH42" s="1055"/>
      <c r="AI42" s="1055"/>
      <c r="AJ42" s="1055"/>
      <c r="AK42" s="1055"/>
      <c r="AL42" s="1055" t="s">
        <v>665</v>
      </c>
      <c r="AM42" s="1055"/>
      <c r="AN42" s="1055"/>
      <c r="AO42" s="1055"/>
      <c r="AP42" s="1055"/>
      <c r="AQ42" s="1055"/>
      <c r="AR42" s="1055"/>
      <c r="AS42" s="1055"/>
      <c r="AT42" s="1055"/>
      <c r="AU42" s="1055"/>
      <c r="AV42" s="1055"/>
      <c r="AW42" s="1055"/>
      <c r="AX42" s="1055"/>
      <c r="AY42" s="1055"/>
      <c r="AZ42" s="1055"/>
      <c r="BA42" s="1055"/>
      <c r="BB42" s="1055"/>
      <c r="BC42" s="70"/>
      <c r="BD42" s="1044">
        <f>BD37</f>
        <v>15</v>
      </c>
      <c r="BE42" s="1044"/>
      <c r="BF42" s="1044"/>
      <c r="BG42" s="1044"/>
      <c r="BH42" s="1044"/>
      <c r="BI42" s="1044"/>
      <c r="BJ42" s="1044"/>
      <c r="BK42" s="1044"/>
      <c r="BL42" s="1044"/>
      <c r="BM42" s="70"/>
      <c r="BN42" s="1044">
        <f>'CH Equipe'!AQ29+'CH Equipe'!AQ30</f>
        <v>359.15</v>
      </c>
      <c r="BO42" s="1044"/>
      <c r="BP42" s="1044"/>
      <c r="BQ42" s="1044"/>
      <c r="BR42" s="1044"/>
      <c r="BS42" s="1044"/>
      <c r="BT42" s="1044"/>
      <c r="BU42" s="1044"/>
      <c r="BV42" s="1044"/>
      <c r="BW42" s="1051">
        <f t="shared" si="6"/>
        <v>8.1624999999999996</v>
      </c>
      <c r="BX42" s="1051"/>
      <c r="BY42" s="1051"/>
      <c r="BZ42" s="1051"/>
      <c r="CA42" s="1051"/>
      <c r="CB42" s="1051"/>
      <c r="CC42" s="1051"/>
      <c r="CD42" s="1051"/>
      <c r="CE42" s="1051"/>
      <c r="CF42" s="70">
        <f t="shared" si="5"/>
        <v>8</v>
      </c>
      <c r="CG42" s="70"/>
      <c r="CH42" s="963" t="e">
        <f>CF42*#REF!</f>
        <v>#REF!</v>
      </c>
      <c r="CI42" s="924"/>
      <c r="CJ42" s="924"/>
      <c r="CK42" s="924"/>
      <c r="CL42" s="924"/>
      <c r="CM42" s="924"/>
      <c r="CN42" s="924"/>
      <c r="CO42" s="924"/>
      <c r="CP42" s="924"/>
      <c r="CQ42" s="924"/>
      <c r="CR42" s="924"/>
      <c r="CS42" s="962"/>
      <c r="CT42" s="70"/>
      <c r="CU42" s="1067" t="e">
        <f t="shared" si="7"/>
        <v>#REF!</v>
      </c>
      <c r="CV42" s="1068"/>
      <c r="CW42" s="1068"/>
      <c r="CX42" s="1068"/>
      <c r="CY42" s="1068"/>
      <c r="CZ42" s="1068"/>
      <c r="DA42" s="1068"/>
      <c r="DB42" s="1068"/>
      <c r="DC42" s="1068"/>
      <c r="DD42" s="1068"/>
      <c r="DE42" s="1068"/>
      <c r="DF42" s="1069"/>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70"/>
      <c r="FK42" s="70"/>
      <c r="FL42" s="70"/>
      <c r="FM42" s="70"/>
      <c r="FN42" s="70"/>
      <c r="FO42" s="70"/>
      <c r="FP42" s="70"/>
      <c r="FQ42" s="70"/>
      <c r="FR42" s="70"/>
      <c r="FS42" s="70"/>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row>
    <row r="43" spans="5:209" s="68" customFormat="1" ht="20.100000000000001" customHeight="1" x14ac:dyDescent="0.2">
      <c r="E43" s="1063"/>
      <c r="F43" s="1063"/>
      <c r="G43" s="1063"/>
      <c r="H43" s="1063"/>
      <c r="I43" s="1063"/>
      <c r="J43" s="1063"/>
      <c r="K43" s="1063"/>
      <c r="L43" s="1063"/>
      <c r="M43" s="1063"/>
      <c r="N43" s="1063"/>
      <c r="O43" s="1063"/>
      <c r="P43" s="1063"/>
      <c r="Q43" s="81"/>
      <c r="R43" s="225"/>
      <c r="S43" s="1070"/>
      <c r="T43" s="1070"/>
      <c r="U43" s="1070"/>
      <c r="V43" s="1070"/>
      <c r="W43" s="1055" t="s">
        <v>705</v>
      </c>
      <c r="X43" s="1055"/>
      <c r="Y43" s="1055"/>
      <c r="Z43" s="1055"/>
      <c r="AA43" s="1055"/>
      <c r="AB43" s="1055"/>
      <c r="AC43" s="1055"/>
      <c r="AD43" s="1055"/>
      <c r="AE43" s="1055"/>
      <c r="AF43" s="1055"/>
      <c r="AG43" s="1055"/>
      <c r="AH43" s="1055"/>
      <c r="AI43" s="1055"/>
      <c r="AJ43" s="1055"/>
      <c r="AK43" s="1055"/>
      <c r="AL43" s="1055" t="s">
        <v>664</v>
      </c>
      <c r="AM43" s="1055"/>
      <c r="AN43" s="1055"/>
      <c r="AO43" s="1055"/>
      <c r="AP43" s="1055"/>
      <c r="AQ43" s="1055"/>
      <c r="AR43" s="1055"/>
      <c r="AS43" s="1055"/>
      <c r="AT43" s="1055"/>
      <c r="AU43" s="1055"/>
      <c r="AV43" s="1055"/>
      <c r="AW43" s="1055"/>
      <c r="AX43" s="1055"/>
      <c r="AY43" s="1055"/>
      <c r="AZ43" s="1055"/>
      <c r="BA43" s="1055"/>
      <c r="BB43" s="1055"/>
      <c r="BC43" s="70"/>
      <c r="BD43" s="1044">
        <f>BD36</f>
        <v>15</v>
      </c>
      <c r="BE43" s="1044"/>
      <c r="BF43" s="1044"/>
      <c r="BG43" s="1044"/>
      <c r="BH43" s="1044"/>
      <c r="BI43" s="1044"/>
      <c r="BJ43" s="1044"/>
      <c r="BK43" s="1044"/>
      <c r="BL43" s="1044"/>
      <c r="BM43" s="70"/>
      <c r="BN43" s="1044">
        <f>'CH Equipe'!AH39</f>
        <v>268.32082500000001</v>
      </c>
      <c r="BO43" s="1044"/>
      <c r="BP43" s="1044"/>
      <c r="BQ43" s="1044"/>
      <c r="BR43" s="1044"/>
      <c r="BS43" s="1044"/>
      <c r="BT43" s="1044"/>
      <c r="BU43" s="1044"/>
      <c r="BV43" s="1044"/>
      <c r="BW43" s="1051">
        <f t="shared" si="6"/>
        <v>6.0982005681818183</v>
      </c>
      <c r="BX43" s="1051"/>
      <c r="BY43" s="1051"/>
      <c r="BZ43" s="1051"/>
      <c r="CA43" s="1051"/>
      <c r="CB43" s="1051"/>
      <c r="CC43" s="1051"/>
      <c r="CD43" s="1051"/>
      <c r="CE43" s="1051"/>
      <c r="CF43" s="70">
        <f t="shared" si="5"/>
        <v>6</v>
      </c>
      <c r="CG43" s="70"/>
      <c r="CH43" s="963" t="e">
        <f>CF43*#REF!</f>
        <v>#REF!</v>
      </c>
      <c r="CI43" s="924"/>
      <c r="CJ43" s="924"/>
      <c r="CK43" s="924"/>
      <c r="CL43" s="924"/>
      <c r="CM43" s="924"/>
      <c r="CN43" s="924"/>
      <c r="CO43" s="924"/>
      <c r="CP43" s="924"/>
      <c r="CQ43" s="924"/>
      <c r="CR43" s="924"/>
      <c r="CS43" s="962"/>
      <c r="CT43" s="70"/>
      <c r="CU43" s="1067" t="e">
        <f t="shared" si="7"/>
        <v>#REF!</v>
      </c>
      <c r="CV43" s="1068"/>
      <c r="CW43" s="1068"/>
      <c r="CX43" s="1068"/>
      <c r="CY43" s="1068"/>
      <c r="CZ43" s="1068"/>
      <c r="DA43" s="1068"/>
      <c r="DB43" s="1068"/>
      <c r="DC43" s="1068"/>
      <c r="DD43" s="1068"/>
      <c r="DE43" s="1068"/>
      <c r="DF43" s="1069"/>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70"/>
      <c r="FK43" s="70"/>
      <c r="FL43" s="70"/>
      <c r="FM43" s="70"/>
      <c r="FN43" s="70"/>
      <c r="FO43" s="70"/>
      <c r="FP43" s="70"/>
      <c r="FQ43" s="70"/>
      <c r="FR43" s="70"/>
      <c r="FS43" s="70"/>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row>
    <row r="44" spans="5:209" s="68" customFormat="1" ht="20.100000000000001" customHeight="1" x14ac:dyDescent="0.2">
      <c r="E44" s="1063"/>
      <c r="F44" s="1063"/>
      <c r="G44" s="1063"/>
      <c r="H44" s="1063"/>
      <c r="I44" s="1063"/>
      <c r="J44" s="1063"/>
      <c r="K44" s="1063"/>
      <c r="L44" s="1063"/>
      <c r="M44" s="1063"/>
      <c r="N44" s="1063"/>
      <c r="O44" s="1063"/>
      <c r="P44" s="1063"/>
      <c r="Q44" s="81"/>
      <c r="R44" s="225"/>
      <c r="S44" s="1070"/>
      <c r="T44" s="1070"/>
      <c r="U44" s="1070"/>
      <c r="V44" s="1070"/>
      <c r="W44" s="1055"/>
      <c r="X44" s="1055"/>
      <c r="Y44" s="1055"/>
      <c r="Z44" s="1055"/>
      <c r="AA44" s="1055"/>
      <c r="AB44" s="1055"/>
      <c r="AC44" s="1055"/>
      <c r="AD44" s="1055"/>
      <c r="AE44" s="1055"/>
      <c r="AF44" s="1055"/>
      <c r="AG44" s="1055"/>
      <c r="AH44" s="1055"/>
      <c r="AI44" s="1055"/>
      <c r="AJ44" s="1055"/>
      <c r="AK44" s="1055"/>
      <c r="AL44" s="1055" t="s">
        <v>665</v>
      </c>
      <c r="AM44" s="1055"/>
      <c r="AN44" s="1055"/>
      <c r="AO44" s="1055"/>
      <c r="AP44" s="1055"/>
      <c r="AQ44" s="1055"/>
      <c r="AR44" s="1055"/>
      <c r="AS44" s="1055"/>
      <c r="AT44" s="1055"/>
      <c r="AU44" s="1055"/>
      <c r="AV44" s="1055"/>
      <c r="AW44" s="1055"/>
      <c r="AX44" s="1055"/>
      <c r="AY44" s="1055"/>
      <c r="AZ44" s="1055"/>
      <c r="BA44" s="1055"/>
      <c r="BB44" s="1055"/>
      <c r="BC44" s="70"/>
      <c r="BD44" s="1044">
        <f>BD37</f>
        <v>15</v>
      </c>
      <c r="BE44" s="1044"/>
      <c r="BF44" s="1044"/>
      <c r="BG44" s="1044"/>
      <c r="BH44" s="1044"/>
      <c r="BI44" s="1044"/>
      <c r="BJ44" s="1044"/>
      <c r="BK44" s="1044"/>
      <c r="BL44" s="1044"/>
      <c r="BM44" s="70"/>
      <c r="BN44" s="1044">
        <f>'CH Equipe'!AQ39</f>
        <v>367.13572499999998</v>
      </c>
      <c r="BO44" s="1044"/>
      <c r="BP44" s="1044"/>
      <c r="BQ44" s="1044"/>
      <c r="BR44" s="1044"/>
      <c r="BS44" s="1044"/>
      <c r="BT44" s="1044"/>
      <c r="BU44" s="1044"/>
      <c r="BV44" s="1044"/>
      <c r="BW44" s="1051">
        <f t="shared" si="6"/>
        <v>8.3439937499999992</v>
      </c>
      <c r="BX44" s="1051"/>
      <c r="BY44" s="1051"/>
      <c r="BZ44" s="1051"/>
      <c r="CA44" s="1051"/>
      <c r="CB44" s="1051"/>
      <c r="CC44" s="1051"/>
      <c r="CD44" s="1051"/>
      <c r="CE44" s="1051"/>
      <c r="CF44" s="70">
        <f t="shared" si="5"/>
        <v>8</v>
      </c>
      <c r="CG44" s="70"/>
      <c r="CH44" s="963" t="e">
        <f>CF44*#REF!</f>
        <v>#REF!</v>
      </c>
      <c r="CI44" s="924"/>
      <c r="CJ44" s="924"/>
      <c r="CK44" s="924"/>
      <c r="CL44" s="924"/>
      <c r="CM44" s="924"/>
      <c r="CN44" s="924"/>
      <c r="CO44" s="924"/>
      <c r="CP44" s="924"/>
      <c r="CQ44" s="924"/>
      <c r="CR44" s="924"/>
      <c r="CS44" s="962"/>
      <c r="CT44" s="70"/>
      <c r="CU44" s="1067" t="e">
        <f t="shared" si="7"/>
        <v>#REF!</v>
      </c>
      <c r="CV44" s="1068"/>
      <c r="CW44" s="1068"/>
      <c r="CX44" s="1068"/>
      <c r="CY44" s="1068"/>
      <c r="CZ44" s="1068"/>
      <c r="DA44" s="1068"/>
      <c r="DB44" s="1068"/>
      <c r="DC44" s="1068"/>
      <c r="DD44" s="1068"/>
      <c r="DE44" s="1068"/>
      <c r="DF44" s="1069"/>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70"/>
      <c r="FK44" s="70"/>
      <c r="FL44" s="70"/>
      <c r="FM44" s="70"/>
      <c r="FN44" s="70"/>
      <c r="FO44" s="70"/>
      <c r="FP44" s="70"/>
      <c r="FQ44" s="70"/>
      <c r="FR44" s="70"/>
      <c r="FS44" s="70"/>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row>
    <row r="45" spans="5:209" s="68" customFormat="1" ht="20.100000000000001" customHeight="1" x14ac:dyDescent="0.2">
      <c r="E45" s="1063"/>
      <c r="F45" s="1063"/>
      <c r="G45" s="1063"/>
      <c r="H45" s="1063"/>
      <c r="I45" s="1063"/>
      <c r="J45" s="1063"/>
      <c r="K45" s="1063"/>
      <c r="L45" s="1063"/>
      <c r="M45" s="1063"/>
      <c r="N45" s="1063"/>
      <c r="O45" s="1063"/>
      <c r="P45" s="1063"/>
      <c r="Q45" s="81"/>
      <c r="R45" s="225"/>
      <c r="S45" s="1070"/>
      <c r="T45" s="1070"/>
      <c r="U45" s="1070"/>
      <c r="V45" s="1070"/>
      <c r="W45" s="1064" t="s">
        <v>62</v>
      </c>
      <c r="X45" s="1065"/>
      <c r="Y45" s="1065"/>
      <c r="Z45" s="1065"/>
      <c r="AA45" s="1065"/>
      <c r="AB45" s="1065"/>
      <c r="AC45" s="1065"/>
      <c r="AD45" s="1065"/>
      <c r="AE45" s="1065"/>
      <c r="AF45" s="1065"/>
      <c r="AG45" s="1065"/>
      <c r="AH45" s="1065"/>
      <c r="AI45" s="1065"/>
      <c r="AJ45" s="1065"/>
      <c r="AK45" s="1066"/>
      <c r="AL45" s="1055" t="s">
        <v>664</v>
      </c>
      <c r="AM45" s="1055"/>
      <c r="AN45" s="1055"/>
      <c r="AO45" s="1055"/>
      <c r="AP45" s="1055"/>
      <c r="AQ45" s="1055"/>
      <c r="AR45" s="1055"/>
      <c r="AS45" s="1055"/>
      <c r="AT45" s="1055"/>
      <c r="AU45" s="1055"/>
      <c r="AV45" s="1055"/>
      <c r="AW45" s="1055"/>
      <c r="AX45" s="1055"/>
      <c r="AY45" s="1055"/>
      <c r="AZ45" s="1055"/>
      <c r="BA45" s="1055"/>
      <c r="BB45" s="1055"/>
      <c r="BC45" s="70"/>
      <c r="BD45" s="1044">
        <f>BD36</f>
        <v>15</v>
      </c>
      <c r="BE45" s="1044"/>
      <c r="BF45" s="1044"/>
      <c r="BG45" s="1044"/>
      <c r="BH45" s="1044"/>
      <c r="BI45" s="1044"/>
      <c r="BJ45" s="1044"/>
      <c r="BK45" s="1044"/>
      <c r="BL45" s="1044"/>
      <c r="BM45" s="70"/>
      <c r="BN45" s="1044">
        <f>'CH Equipe'!AH49</f>
        <v>104.22570000000002</v>
      </c>
      <c r="BO45" s="1044"/>
      <c r="BP45" s="1044"/>
      <c r="BQ45" s="1044"/>
      <c r="BR45" s="1044"/>
      <c r="BS45" s="1044"/>
      <c r="BT45" s="1044"/>
      <c r="BU45" s="1044"/>
      <c r="BV45" s="1044"/>
      <c r="BW45" s="1051">
        <f t="shared" si="6"/>
        <v>2.3687659090909094</v>
      </c>
      <c r="BX45" s="1051"/>
      <c r="BY45" s="1051"/>
      <c r="BZ45" s="1051"/>
      <c r="CA45" s="1051"/>
      <c r="CB45" s="1051"/>
      <c r="CC45" s="1051"/>
      <c r="CD45" s="1051"/>
      <c r="CE45" s="1051"/>
      <c r="CF45" s="70">
        <f t="shared" si="5"/>
        <v>2</v>
      </c>
      <c r="CG45" s="70"/>
      <c r="CH45" s="963" t="e">
        <f>CF45*#REF!</f>
        <v>#REF!</v>
      </c>
      <c r="CI45" s="924"/>
      <c r="CJ45" s="924"/>
      <c r="CK45" s="924"/>
      <c r="CL45" s="924"/>
      <c r="CM45" s="924"/>
      <c r="CN45" s="924"/>
      <c r="CO45" s="924"/>
      <c r="CP45" s="924"/>
      <c r="CQ45" s="924"/>
      <c r="CR45" s="924"/>
      <c r="CS45" s="962"/>
      <c r="CT45" s="70"/>
      <c r="CU45" s="1067" t="e">
        <f t="shared" si="7"/>
        <v>#REF!</v>
      </c>
      <c r="CV45" s="1068"/>
      <c r="CW45" s="1068"/>
      <c r="CX45" s="1068"/>
      <c r="CY45" s="1068"/>
      <c r="CZ45" s="1068"/>
      <c r="DA45" s="1068"/>
      <c r="DB45" s="1068"/>
      <c r="DC45" s="1068"/>
      <c r="DD45" s="1068"/>
      <c r="DE45" s="1068"/>
      <c r="DF45" s="1069"/>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70"/>
      <c r="FK45" s="70"/>
      <c r="FL45" s="70"/>
      <c r="FM45" s="70"/>
      <c r="FN45" s="70"/>
      <c r="FO45" s="70"/>
      <c r="FP45" s="70"/>
      <c r="FQ45" s="70"/>
      <c r="FR45" s="70"/>
      <c r="FS45" s="70"/>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row>
    <row r="46" spans="5:209" s="68" customFormat="1" ht="20.100000000000001" customHeight="1" x14ac:dyDescent="0.2">
      <c r="E46" s="1063"/>
      <c r="F46" s="1063"/>
      <c r="G46" s="1063"/>
      <c r="H46" s="1063"/>
      <c r="I46" s="1063"/>
      <c r="J46" s="1063"/>
      <c r="K46" s="1063"/>
      <c r="L46" s="1063"/>
      <c r="M46" s="1063"/>
      <c r="N46" s="1063"/>
      <c r="O46" s="1063"/>
      <c r="P46" s="1063"/>
      <c r="Q46" s="81"/>
      <c r="R46" s="225"/>
      <c r="S46" s="1070"/>
      <c r="T46" s="1070"/>
      <c r="U46" s="1070"/>
      <c r="V46" s="1070"/>
      <c r="W46" s="1071"/>
      <c r="X46" s="1060"/>
      <c r="Y46" s="1060"/>
      <c r="Z46" s="1060"/>
      <c r="AA46" s="1060"/>
      <c r="AB46" s="1060"/>
      <c r="AC46" s="1060"/>
      <c r="AD46" s="1060"/>
      <c r="AE46" s="1060"/>
      <c r="AF46" s="1060"/>
      <c r="AG46" s="1060"/>
      <c r="AH46" s="1060"/>
      <c r="AI46" s="1060"/>
      <c r="AJ46" s="1060"/>
      <c r="AK46" s="1072"/>
      <c r="AL46" s="1055" t="s">
        <v>665</v>
      </c>
      <c r="AM46" s="1055"/>
      <c r="AN46" s="1055"/>
      <c r="AO46" s="1055"/>
      <c r="AP46" s="1055"/>
      <c r="AQ46" s="1055"/>
      <c r="AR46" s="1055"/>
      <c r="AS46" s="1055"/>
      <c r="AT46" s="1055"/>
      <c r="AU46" s="1055"/>
      <c r="AV46" s="1055"/>
      <c r="AW46" s="1055"/>
      <c r="AX46" s="1055"/>
      <c r="AY46" s="1055"/>
      <c r="AZ46" s="1055"/>
      <c r="BA46" s="1055"/>
      <c r="BB46" s="1055"/>
      <c r="BC46" s="70"/>
      <c r="BD46" s="1044">
        <f>BD37</f>
        <v>15</v>
      </c>
      <c r="BE46" s="1044"/>
      <c r="BF46" s="1044"/>
      <c r="BG46" s="1044"/>
      <c r="BH46" s="1044"/>
      <c r="BI46" s="1044"/>
      <c r="BJ46" s="1044"/>
      <c r="BK46" s="1044"/>
      <c r="BL46" s="1044"/>
      <c r="BM46" s="70"/>
      <c r="BN46" s="1044">
        <f>'CH Equipe'!AQ49</f>
        <v>146.59590000000003</v>
      </c>
      <c r="BO46" s="1044"/>
      <c r="BP46" s="1044"/>
      <c r="BQ46" s="1044"/>
      <c r="BR46" s="1044"/>
      <c r="BS46" s="1044"/>
      <c r="BT46" s="1044"/>
      <c r="BU46" s="1044"/>
      <c r="BV46" s="1044"/>
      <c r="BW46" s="1051">
        <f t="shared" si="6"/>
        <v>3.3317250000000005</v>
      </c>
      <c r="BX46" s="1051"/>
      <c r="BY46" s="1051"/>
      <c r="BZ46" s="1051"/>
      <c r="CA46" s="1051"/>
      <c r="CB46" s="1051"/>
      <c r="CC46" s="1051"/>
      <c r="CD46" s="1051"/>
      <c r="CE46" s="1051"/>
      <c r="CF46" s="70">
        <f t="shared" si="5"/>
        <v>3</v>
      </c>
      <c r="CG46" s="70"/>
      <c r="CH46" s="919" t="e">
        <f>CF46*#REF!</f>
        <v>#REF!</v>
      </c>
      <c r="CI46" s="920"/>
      <c r="CJ46" s="920"/>
      <c r="CK46" s="920"/>
      <c r="CL46" s="920"/>
      <c r="CM46" s="920"/>
      <c r="CN46" s="920"/>
      <c r="CO46" s="920"/>
      <c r="CP46" s="920"/>
      <c r="CQ46" s="920"/>
      <c r="CR46" s="920"/>
      <c r="CS46" s="925"/>
      <c r="CT46" s="70"/>
      <c r="CU46" s="1077" t="e">
        <f>CH46/60</f>
        <v>#REF!</v>
      </c>
      <c r="CV46" s="1078"/>
      <c r="CW46" s="1078"/>
      <c r="CX46" s="1078"/>
      <c r="CY46" s="1078"/>
      <c r="CZ46" s="1078"/>
      <c r="DA46" s="1078"/>
      <c r="DB46" s="1078"/>
      <c r="DC46" s="1078"/>
      <c r="DD46" s="1078"/>
      <c r="DE46" s="1078"/>
      <c r="DF46" s="1079"/>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70"/>
      <c r="FK46" s="70"/>
      <c r="FL46" s="70"/>
      <c r="FM46" s="70"/>
      <c r="FN46" s="70"/>
      <c r="FO46" s="70"/>
      <c r="FP46" s="70"/>
      <c r="FQ46" s="70"/>
      <c r="FR46" s="70"/>
      <c r="FS46" s="70"/>
      <c r="FT46" s="69"/>
      <c r="FU46" s="69"/>
      <c r="FV46" s="69"/>
      <c r="FW46" s="69"/>
      <c r="FX46" s="69"/>
      <c r="FY46" s="69"/>
      <c r="FZ46" s="69"/>
      <c r="GA46" s="69"/>
      <c r="GB46" s="69"/>
      <c r="GC46" s="69"/>
      <c r="GD46" s="69"/>
      <c r="GE46" s="69"/>
      <c r="GF46" s="69"/>
      <c r="GG46" s="69"/>
      <c r="GH46" s="69"/>
      <c r="GI46" s="69"/>
      <c r="GJ46" s="69"/>
      <c r="GK46" s="69"/>
      <c r="GL46" s="69"/>
      <c r="GM46" s="69"/>
      <c r="GN46" s="69"/>
      <c r="GO46" s="69"/>
      <c r="GP46" s="69"/>
      <c r="GQ46" s="69"/>
      <c r="GR46" s="69"/>
      <c r="GS46" s="69"/>
      <c r="GT46" s="69"/>
      <c r="GU46" s="69"/>
      <c r="GV46" s="69"/>
      <c r="GW46" s="69"/>
      <c r="GX46" s="69"/>
      <c r="GY46" s="69"/>
      <c r="GZ46" s="69"/>
    </row>
    <row r="47" spans="5:209" s="68" customFormat="1" ht="20.100000000000001" customHeight="1" x14ac:dyDescent="0.2">
      <c r="E47" s="1063"/>
      <c r="F47" s="1063"/>
      <c r="G47" s="1063"/>
      <c r="H47" s="1063"/>
      <c r="I47" s="1063"/>
      <c r="J47" s="1063"/>
      <c r="K47" s="1063"/>
      <c r="L47" s="1063"/>
      <c r="M47" s="1063"/>
      <c r="N47" s="1063"/>
      <c r="O47" s="1063"/>
      <c r="P47" s="1063"/>
      <c r="Q47" s="81"/>
      <c r="R47" s="225"/>
      <c r="S47" s="1070"/>
      <c r="T47" s="1070"/>
      <c r="U47" s="1070"/>
      <c r="V47" s="1070"/>
      <c r="W47" s="1073"/>
      <c r="X47" s="1074"/>
      <c r="Y47" s="1074"/>
      <c r="Z47" s="1074"/>
      <c r="AA47" s="1074"/>
      <c r="AB47" s="1074"/>
      <c r="AC47" s="1074"/>
      <c r="AD47" s="1074"/>
      <c r="AE47" s="1074"/>
      <c r="AF47" s="1074"/>
      <c r="AG47" s="1074"/>
      <c r="AH47" s="1074"/>
      <c r="AI47" s="1074"/>
      <c r="AJ47" s="1074"/>
      <c r="AK47" s="1075"/>
      <c r="AL47" s="1055" t="s">
        <v>675</v>
      </c>
      <c r="AM47" s="1055"/>
      <c r="AN47" s="1055"/>
      <c r="AO47" s="1055"/>
      <c r="AP47" s="1055"/>
      <c r="AQ47" s="1055"/>
      <c r="AR47" s="1055"/>
      <c r="AS47" s="1055"/>
      <c r="AT47" s="1055"/>
      <c r="AU47" s="1055"/>
      <c r="AV47" s="1055"/>
      <c r="AW47" s="1055"/>
      <c r="AX47" s="1055"/>
      <c r="AY47" s="1055"/>
      <c r="AZ47" s="1055"/>
      <c r="BA47" s="1055"/>
      <c r="BB47" s="1055"/>
      <c r="BC47" s="70"/>
      <c r="BD47" s="1044">
        <f>'CH Equipe'!AZ99</f>
        <v>20</v>
      </c>
      <c r="BE47" s="1044"/>
      <c r="BF47" s="1044"/>
      <c r="BG47" s="1044"/>
      <c r="BH47" s="1044"/>
      <c r="BI47" s="1044"/>
      <c r="BJ47" s="1044"/>
      <c r="BK47" s="1044"/>
      <c r="BL47" s="1044"/>
      <c r="BM47" s="70"/>
      <c r="BN47" s="1044">
        <f>'CH Equipe'!AZ49</f>
        <v>250.82160000000005</v>
      </c>
      <c r="BO47" s="1044"/>
      <c r="BP47" s="1044"/>
      <c r="BQ47" s="1044"/>
      <c r="BR47" s="1044"/>
      <c r="BS47" s="1044"/>
      <c r="BT47" s="1044"/>
      <c r="BU47" s="1044"/>
      <c r="BV47" s="1044"/>
      <c r="BW47" s="1051">
        <f t="shared" ref="BW47:BW53" si="8">BN47/11/4</f>
        <v>5.7004909090909104</v>
      </c>
      <c r="BX47" s="1051"/>
      <c r="BY47" s="1051"/>
      <c r="BZ47" s="1051"/>
      <c r="CA47" s="1051"/>
      <c r="CB47" s="1051"/>
      <c r="CC47" s="1051"/>
      <c r="CD47" s="1051"/>
      <c r="CE47" s="1051"/>
      <c r="CF47" s="70"/>
      <c r="CG47" s="70"/>
      <c r="CH47" s="70"/>
      <c r="CI47" s="70"/>
      <c r="CJ47" s="70"/>
      <c r="CK47" s="70"/>
      <c r="CL47" s="70"/>
      <c r="CM47" s="70"/>
      <c r="CN47" s="70"/>
      <c r="CO47" s="70"/>
      <c r="CP47" s="70"/>
      <c r="CQ47" s="70"/>
      <c r="CR47" s="70"/>
      <c r="CS47" s="70"/>
      <c r="CT47" s="70"/>
      <c r="CU47" s="117"/>
      <c r="CV47" s="117"/>
      <c r="CW47" s="117"/>
      <c r="CX47" s="117"/>
      <c r="CY47" s="117"/>
      <c r="CZ47" s="117"/>
      <c r="DA47" s="117"/>
      <c r="DB47" s="117"/>
      <c r="DC47" s="117"/>
      <c r="DD47" s="117"/>
      <c r="DE47" s="117"/>
      <c r="DF47" s="117"/>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70"/>
      <c r="FK47" s="70"/>
      <c r="FL47" s="70"/>
      <c r="FM47" s="70"/>
      <c r="FN47" s="70"/>
      <c r="FO47" s="70"/>
      <c r="FP47" s="70"/>
      <c r="FQ47" s="70"/>
      <c r="FR47" s="70"/>
      <c r="FS47" s="70"/>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row>
    <row r="48" spans="5:209" s="68" customFormat="1" ht="20.100000000000001" customHeight="1" x14ac:dyDescent="0.2">
      <c r="E48" s="1063"/>
      <c r="F48" s="1063"/>
      <c r="G48" s="1063"/>
      <c r="H48" s="1063"/>
      <c r="I48" s="1063"/>
      <c r="J48" s="1063"/>
      <c r="K48" s="1063"/>
      <c r="L48" s="1063"/>
      <c r="M48" s="1063"/>
      <c r="N48" s="1063"/>
      <c r="O48" s="1063"/>
      <c r="P48" s="1063"/>
      <c r="Q48" s="81"/>
      <c r="R48" s="225"/>
      <c r="S48" s="1070"/>
      <c r="T48" s="1070"/>
      <c r="U48" s="1070"/>
      <c r="V48" s="1070"/>
      <c r="W48" s="1055" t="s">
        <v>46</v>
      </c>
      <c r="X48" s="1055"/>
      <c r="Y48" s="1055"/>
      <c r="Z48" s="1055"/>
      <c r="AA48" s="1055"/>
      <c r="AB48" s="1055"/>
      <c r="AC48" s="1055"/>
      <c r="AD48" s="1055"/>
      <c r="AE48" s="1055"/>
      <c r="AF48" s="1055"/>
      <c r="AG48" s="1055"/>
      <c r="AH48" s="1055"/>
      <c r="AI48" s="1055"/>
      <c r="AJ48" s="1055"/>
      <c r="AK48" s="1055"/>
      <c r="AL48" s="1055" t="s">
        <v>664</v>
      </c>
      <c r="AM48" s="1055"/>
      <c r="AN48" s="1055"/>
      <c r="AO48" s="1055"/>
      <c r="AP48" s="1055"/>
      <c r="AQ48" s="1055"/>
      <c r="AR48" s="1055"/>
      <c r="AS48" s="1055"/>
      <c r="AT48" s="1055"/>
      <c r="AU48" s="1055"/>
      <c r="AV48" s="1055"/>
      <c r="AW48" s="1055"/>
      <c r="AX48" s="1055"/>
      <c r="AY48" s="1055"/>
      <c r="AZ48" s="1055"/>
      <c r="BA48" s="1055"/>
      <c r="BB48" s="1055"/>
      <c r="BC48" s="70"/>
      <c r="BD48" s="1044">
        <f t="shared" ref="BD48:BD53" si="9">BD38</f>
        <v>15</v>
      </c>
      <c r="BE48" s="1044"/>
      <c r="BF48" s="1044"/>
      <c r="BG48" s="1044"/>
      <c r="BH48" s="1044"/>
      <c r="BI48" s="1044"/>
      <c r="BJ48" s="1044"/>
      <c r="BK48" s="1044"/>
      <c r="BL48" s="1044"/>
      <c r="BM48" s="70"/>
      <c r="BN48" s="1044">
        <f>'CH Equipe'!AH61</f>
        <v>67.554400000000001</v>
      </c>
      <c r="BO48" s="1044"/>
      <c r="BP48" s="1044"/>
      <c r="BQ48" s="1044"/>
      <c r="BR48" s="1044"/>
      <c r="BS48" s="1044"/>
      <c r="BT48" s="1044"/>
      <c r="BU48" s="1044"/>
      <c r="BV48" s="1044"/>
      <c r="BW48" s="1051">
        <f t="shared" si="8"/>
        <v>1.5353272727272727</v>
      </c>
      <c r="BX48" s="1051"/>
      <c r="BY48" s="1051"/>
      <c r="BZ48" s="1051"/>
      <c r="CA48" s="1051"/>
      <c r="CB48" s="1051"/>
      <c r="CC48" s="1051"/>
      <c r="CD48" s="1051"/>
      <c r="CE48" s="1051"/>
      <c r="CF48" s="70"/>
      <c r="CG48" s="70"/>
      <c r="CH48" s="70"/>
      <c r="CI48" s="70"/>
      <c r="CJ48" s="70"/>
      <c r="CK48" s="70"/>
      <c r="CL48" s="70"/>
      <c r="CM48" s="70"/>
      <c r="CN48" s="70"/>
      <c r="CO48" s="70"/>
      <c r="CP48" s="70"/>
      <c r="CQ48" s="70"/>
      <c r="CR48" s="70"/>
      <c r="CS48" s="70"/>
      <c r="CT48" s="70"/>
      <c r="CU48" s="117"/>
      <c r="CV48" s="117"/>
      <c r="CW48" s="117"/>
      <c r="CX48" s="117"/>
      <c r="CY48" s="117"/>
      <c r="CZ48" s="117"/>
      <c r="DA48" s="117"/>
      <c r="DB48" s="117"/>
      <c r="DC48" s="117"/>
      <c r="DD48" s="117"/>
      <c r="DE48" s="117"/>
      <c r="DF48" s="117"/>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70"/>
      <c r="FK48" s="70"/>
      <c r="FL48" s="70"/>
      <c r="FM48" s="70"/>
      <c r="FN48" s="70"/>
      <c r="FO48" s="70"/>
      <c r="FP48" s="70"/>
      <c r="FQ48" s="70"/>
      <c r="FR48" s="70"/>
      <c r="FS48" s="70"/>
      <c r="FT48" s="69"/>
      <c r="FU48" s="69"/>
      <c r="FV48" s="69"/>
      <c r="FW48" s="69"/>
      <c r="FX48" s="69"/>
      <c r="FY48" s="69"/>
      <c r="FZ48" s="69"/>
      <c r="GA48" s="69"/>
      <c r="GB48" s="69"/>
      <c r="GC48" s="69"/>
      <c r="GD48" s="69"/>
      <c r="GE48" s="69"/>
      <c r="GF48" s="69"/>
      <c r="GG48" s="69"/>
      <c r="GH48" s="69"/>
      <c r="GI48" s="69"/>
      <c r="GJ48" s="69"/>
      <c r="GK48" s="69"/>
      <c r="GL48" s="69"/>
      <c r="GM48" s="69"/>
      <c r="GN48" s="69"/>
      <c r="GO48" s="69"/>
      <c r="GP48" s="69"/>
      <c r="GQ48" s="69"/>
      <c r="GR48" s="69"/>
      <c r="GS48" s="69"/>
      <c r="GT48" s="69"/>
      <c r="GU48" s="69"/>
      <c r="GV48" s="69"/>
      <c r="GW48" s="69"/>
      <c r="GX48" s="69"/>
      <c r="GY48" s="69"/>
      <c r="GZ48" s="69"/>
    </row>
    <row r="49" spans="5:209" s="68" customFormat="1" ht="20.100000000000001" customHeight="1" x14ac:dyDescent="0.2">
      <c r="E49" s="1063"/>
      <c r="F49" s="1063"/>
      <c r="G49" s="1063"/>
      <c r="H49" s="1063"/>
      <c r="I49" s="1063"/>
      <c r="J49" s="1063"/>
      <c r="K49" s="1063"/>
      <c r="L49" s="1063"/>
      <c r="M49" s="1063"/>
      <c r="N49" s="1063"/>
      <c r="O49" s="1063"/>
      <c r="P49" s="1063"/>
      <c r="Q49" s="81"/>
      <c r="R49" s="225"/>
      <c r="S49" s="1070"/>
      <c r="T49" s="1070"/>
      <c r="U49" s="1070"/>
      <c r="V49" s="1070"/>
      <c r="W49" s="1055"/>
      <c r="X49" s="1055"/>
      <c r="Y49" s="1055"/>
      <c r="Z49" s="1055"/>
      <c r="AA49" s="1055"/>
      <c r="AB49" s="1055"/>
      <c r="AC49" s="1055"/>
      <c r="AD49" s="1055"/>
      <c r="AE49" s="1055"/>
      <c r="AF49" s="1055"/>
      <c r="AG49" s="1055"/>
      <c r="AH49" s="1055"/>
      <c r="AI49" s="1055"/>
      <c r="AJ49" s="1055"/>
      <c r="AK49" s="1055"/>
      <c r="AL49" s="1055" t="s">
        <v>665</v>
      </c>
      <c r="AM49" s="1055"/>
      <c r="AN49" s="1055"/>
      <c r="AO49" s="1055"/>
      <c r="AP49" s="1055"/>
      <c r="AQ49" s="1055"/>
      <c r="AR49" s="1055"/>
      <c r="AS49" s="1055"/>
      <c r="AT49" s="1055"/>
      <c r="AU49" s="1055"/>
      <c r="AV49" s="1055"/>
      <c r="AW49" s="1055"/>
      <c r="AX49" s="1055"/>
      <c r="AY49" s="1055"/>
      <c r="AZ49" s="1055"/>
      <c r="BA49" s="1055"/>
      <c r="BB49" s="1055"/>
      <c r="BC49" s="70"/>
      <c r="BD49" s="1044">
        <f t="shared" si="9"/>
        <v>15</v>
      </c>
      <c r="BE49" s="1044"/>
      <c r="BF49" s="1044"/>
      <c r="BG49" s="1044"/>
      <c r="BH49" s="1044"/>
      <c r="BI49" s="1044"/>
      <c r="BJ49" s="1044"/>
      <c r="BK49" s="1044"/>
      <c r="BL49" s="1044"/>
      <c r="BM49" s="70"/>
      <c r="BN49" s="1044">
        <f>'CH Equipe'!AQ61</f>
        <v>67.554400000000001</v>
      </c>
      <c r="BO49" s="1044"/>
      <c r="BP49" s="1044"/>
      <c r="BQ49" s="1044"/>
      <c r="BR49" s="1044"/>
      <c r="BS49" s="1044"/>
      <c r="BT49" s="1044"/>
      <c r="BU49" s="1044"/>
      <c r="BV49" s="1044"/>
      <c r="BW49" s="1051">
        <f t="shared" si="8"/>
        <v>1.5353272727272727</v>
      </c>
      <c r="BX49" s="1051"/>
      <c r="BY49" s="1051"/>
      <c r="BZ49" s="1051"/>
      <c r="CA49" s="1051"/>
      <c r="CB49" s="1051"/>
      <c r="CC49" s="1051"/>
      <c r="CD49" s="1051"/>
      <c r="CE49" s="1051"/>
      <c r="CF49" s="70"/>
      <c r="CG49" s="70"/>
      <c r="CH49" s="70"/>
      <c r="CI49" s="70"/>
      <c r="CJ49" s="70"/>
      <c r="CK49" s="70"/>
      <c r="CL49" s="70"/>
      <c r="CM49" s="70"/>
      <c r="CN49" s="70"/>
      <c r="CO49" s="70"/>
      <c r="CP49" s="70"/>
      <c r="CQ49" s="70"/>
      <c r="CR49" s="70"/>
      <c r="CS49" s="70"/>
      <c r="CT49" s="70"/>
      <c r="CU49" s="117"/>
      <c r="CV49" s="117"/>
      <c r="CW49" s="117"/>
      <c r="CX49" s="117"/>
      <c r="CY49" s="117"/>
      <c r="CZ49" s="117"/>
      <c r="DA49" s="117"/>
      <c r="DB49" s="117"/>
      <c r="DC49" s="117"/>
      <c r="DD49" s="117"/>
      <c r="DE49" s="117"/>
      <c r="DF49" s="117"/>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70"/>
      <c r="FK49" s="70"/>
      <c r="FL49" s="70"/>
      <c r="FM49" s="70"/>
      <c r="FN49" s="70"/>
      <c r="FO49" s="70"/>
      <c r="FP49" s="70"/>
      <c r="FQ49" s="70"/>
      <c r="FR49" s="70"/>
      <c r="FS49" s="70"/>
      <c r="FT49" s="69"/>
      <c r="FU49" s="69"/>
      <c r="FV49" s="69"/>
      <c r="FW49" s="69"/>
      <c r="FX49" s="69"/>
      <c r="FY49" s="69"/>
      <c r="FZ49" s="69"/>
      <c r="GA49" s="69"/>
      <c r="GB49" s="69"/>
      <c r="GC49" s="69"/>
      <c r="GD49" s="69"/>
      <c r="GE49" s="69"/>
      <c r="GF49" s="69"/>
      <c r="GG49" s="69"/>
      <c r="GH49" s="69"/>
      <c r="GI49" s="69"/>
      <c r="GJ49" s="69"/>
      <c r="GK49" s="69"/>
      <c r="GL49" s="69"/>
      <c r="GM49" s="69"/>
      <c r="GN49" s="69"/>
      <c r="GO49" s="69"/>
      <c r="GP49" s="69"/>
      <c r="GQ49" s="69"/>
      <c r="GR49" s="69"/>
      <c r="GS49" s="69"/>
      <c r="GT49" s="69"/>
      <c r="GU49" s="69"/>
      <c r="GV49" s="69"/>
      <c r="GW49" s="69"/>
      <c r="GX49" s="69"/>
      <c r="GY49" s="69"/>
      <c r="GZ49" s="69"/>
    </row>
    <row r="50" spans="5:209" s="68" customFormat="1" ht="20.100000000000001" customHeight="1" x14ac:dyDescent="0.2">
      <c r="E50" s="1063"/>
      <c r="F50" s="1063"/>
      <c r="G50" s="1063"/>
      <c r="H50" s="1063"/>
      <c r="I50" s="1063"/>
      <c r="J50" s="1063"/>
      <c r="K50" s="1063"/>
      <c r="L50" s="1063"/>
      <c r="M50" s="1063"/>
      <c r="N50" s="1063"/>
      <c r="O50" s="1063"/>
      <c r="P50" s="1063"/>
      <c r="Q50" s="81"/>
      <c r="R50" s="225"/>
      <c r="S50" s="1070"/>
      <c r="T50" s="1070"/>
      <c r="U50" s="1070"/>
      <c r="V50" s="1070"/>
      <c r="W50" s="1055" t="s">
        <v>287</v>
      </c>
      <c r="X50" s="1055"/>
      <c r="Y50" s="1055"/>
      <c r="Z50" s="1055"/>
      <c r="AA50" s="1055"/>
      <c r="AB50" s="1055"/>
      <c r="AC50" s="1055"/>
      <c r="AD50" s="1055"/>
      <c r="AE50" s="1055"/>
      <c r="AF50" s="1055"/>
      <c r="AG50" s="1055"/>
      <c r="AH50" s="1055"/>
      <c r="AI50" s="1055"/>
      <c r="AJ50" s="1055"/>
      <c r="AK50" s="1055"/>
      <c r="AL50" s="1055" t="s">
        <v>664</v>
      </c>
      <c r="AM50" s="1055"/>
      <c r="AN50" s="1055"/>
      <c r="AO50" s="1055"/>
      <c r="AP50" s="1055"/>
      <c r="AQ50" s="1055"/>
      <c r="AR50" s="1055"/>
      <c r="AS50" s="1055"/>
      <c r="AT50" s="1055"/>
      <c r="AU50" s="1055"/>
      <c r="AV50" s="1055"/>
      <c r="AW50" s="1055"/>
      <c r="AX50" s="1055"/>
      <c r="AY50" s="1055"/>
      <c r="AZ50" s="1055"/>
      <c r="BA50" s="1055"/>
      <c r="BB50" s="1055"/>
      <c r="BC50" s="70"/>
      <c r="BD50" s="1044">
        <f t="shared" si="9"/>
        <v>15</v>
      </c>
      <c r="BE50" s="1044"/>
      <c r="BF50" s="1044"/>
      <c r="BG50" s="1044"/>
      <c r="BH50" s="1044"/>
      <c r="BI50" s="1044"/>
      <c r="BJ50" s="1044"/>
      <c r="BK50" s="1044"/>
      <c r="BL50" s="1044"/>
      <c r="BM50" s="70"/>
      <c r="BN50" s="1044">
        <f>'CH Equipe'!AH68</f>
        <v>211.54391100000001</v>
      </c>
      <c r="BO50" s="1044"/>
      <c r="BP50" s="1044"/>
      <c r="BQ50" s="1044"/>
      <c r="BR50" s="1044"/>
      <c r="BS50" s="1044"/>
      <c r="BT50" s="1044"/>
      <c r="BU50" s="1044"/>
      <c r="BV50" s="1044"/>
      <c r="BW50" s="1051">
        <f t="shared" si="8"/>
        <v>4.8078161590909092</v>
      </c>
      <c r="BX50" s="1051"/>
      <c r="BY50" s="1051"/>
      <c r="BZ50" s="1051"/>
      <c r="CA50" s="1051"/>
      <c r="CB50" s="1051"/>
      <c r="CC50" s="1051"/>
      <c r="CD50" s="1051"/>
      <c r="CE50" s="1051"/>
      <c r="CF50" s="70"/>
      <c r="CG50" s="70"/>
      <c r="CH50" s="70"/>
      <c r="CI50" s="70"/>
      <c r="CJ50" s="70"/>
      <c r="CK50" s="70"/>
      <c r="CL50" s="70"/>
      <c r="CM50" s="70"/>
      <c r="CN50" s="70"/>
      <c r="CO50" s="70"/>
      <c r="CP50" s="70"/>
      <c r="CQ50" s="70"/>
      <c r="CR50" s="70"/>
      <c r="CS50" s="70"/>
      <c r="CT50" s="70"/>
      <c r="CU50" s="117"/>
      <c r="CV50" s="117"/>
      <c r="CW50" s="117"/>
      <c r="CX50" s="117"/>
      <c r="CY50" s="117"/>
      <c r="CZ50" s="117"/>
      <c r="DA50" s="117"/>
      <c r="DB50" s="117"/>
      <c r="DC50" s="117"/>
      <c r="DD50" s="117"/>
      <c r="DE50" s="117"/>
      <c r="DF50" s="117"/>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70"/>
      <c r="FK50" s="70"/>
      <c r="FL50" s="70"/>
      <c r="FM50" s="70"/>
      <c r="FN50" s="70"/>
      <c r="FO50" s="70"/>
      <c r="FP50" s="70"/>
      <c r="FQ50" s="70"/>
      <c r="FR50" s="70"/>
      <c r="FS50" s="70"/>
      <c r="FT50" s="69"/>
      <c r="FU50" s="69"/>
      <c r="FV50" s="69"/>
      <c r="FW50" s="69"/>
      <c r="FX50" s="69"/>
      <c r="FY50" s="69"/>
      <c r="FZ50" s="69"/>
      <c r="GA50" s="69"/>
      <c r="GB50" s="69"/>
      <c r="GC50" s="69"/>
      <c r="GD50" s="69"/>
      <c r="GE50" s="69"/>
      <c r="GF50" s="69"/>
      <c r="GG50" s="69"/>
      <c r="GH50" s="69"/>
      <c r="GI50" s="69"/>
      <c r="GJ50" s="69"/>
      <c r="GK50" s="69"/>
      <c r="GL50" s="69"/>
      <c r="GM50" s="69"/>
      <c r="GN50" s="69"/>
      <c r="GO50" s="69"/>
      <c r="GP50" s="69"/>
      <c r="GQ50" s="69"/>
      <c r="GR50" s="69"/>
      <c r="GS50" s="69"/>
      <c r="GT50" s="69"/>
      <c r="GU50" s="69"/>
      <c r="GV50" s="69"/>
      <c r="GW50" s="69"/>
      <c r="GX50" s="69"/>
      <c r="GY50" s="69"/>
      <c r="GZ50" s="69"/>
    </row>
    <row r="51" spans="5:209" s="68" customFormat="1" ht="20.100000000000001" customHeight="1" x14ac:dyDescent="0.2">
      <c r="E51" s="1063"/>
      <c r="F51" s="1063"/>
      <c r="G51" s="1063"/>
      <c r="H51" s="1063"/>
      <c r="I51" s="1063"/>
      <c r="J51" s="1063"/>
      <c r="K51" s="1063"/>
      <c r="L51" s="1063"/>
      <c r="M51" s="1063"/>
      <c r="N51" s="1063"/>
      <c r="O51" s="1063"/>
      <c r="P51" s="1063"/>
      <c r="Q51" s="81"/>
      <c r="R51" s="225"/>
      <c r="S51" s="1070"/>
      <c r="T51" s="1070"/>
      <c r="U51" s="1070"/>
      <c r="V51" s="1070"/>
      <c r="W51" s="1055"/>
      <c r="X51" s="1055"/>
      <c r="Y51" s="1055"/>
      <c r="Z51" s="1055"/>
      <c r="AA51" s="1055"/>
      <c r="AB51" s="1055"/>
      <c r="AC51" s="1055"/>
      <c r="AD51" s="1055"/>
      <c r="AE51" s="1055"/>
      <c r="AF51" s="1055"/>
      <c r="AG51" s="1055"/>
      <c r="AH51" s="1055"/>
      <c r="AI51" s="1055"/>
      <c r="AJ51" s="1055"/>
      <c r="AK51" s="1055"/>
      <c r="AL51" s="1055" t="s">
        <v>665</v>
      </c>
      <c r="AM51" s="1055"/>
      <c r="AN51" s="1055"/>
      <c r="AO51" s="1055"/>
      <c r="AP51" s="1055"/>
      <c r="AQ51" s="1055"/>
      <c r="AR51" s="1055"/>
      <c r="AS51" s="1055"/>
      <c r="AT51" s="1055"/>
      <c r="AU51" s="1055"/>
      <c r="AV51" s="1055"/>
      <c r="AW51" s="1055"/>
      <c r="AX51" s="1055"/>
      <c r="AY51" s="1055"/>
      <c r="AZ51" s="1055"/>
      <c r="BA51" s="1055"/>
      <c r="BB51" s="1055"/>
      <c r="BC51" s="70"/>
      <c r="BD51" s="1044">
        <f t="shared" si="9"/>
        <v>15</v>
      </c>
      <c r="BE51" s="1044"/>
      <c r="BF51" s="1044"/>
      <c r="BG51" s="1044"/>
      <c r="BH51" s="1044"/>
      <c r="BI51" s="1044"/>
      <c r="BJ51" s="1044"/>
      <c r="BK51" s="1044"/>
      <c r="BL51" s="1044"/>
      <c r="BM51" s="70"/>
      <c r="BN51" s="1044">
        <f>'CH Equipe'!AQ68</f>
        <v>0</v>
      </c>
      <c r="BO51" s="1044"/>
      <c r="BP51" s="1044"/>
      <c r="BQ51" s="1044"/>
      <c r="BR51" s="1044"/>
      <c r="BS51" s="1044"/>
      <c r="BT51" s="1044"/>
      <c r="BU51" s="1044"/>
      <c r="BV51" s="1044"/>
      <c r="BW51" s="1051">
        <f t="shared" si="8"/>
        <v>0</v>
      </c>
      <c r="BX51" s="1051"/>
      <c r="BY51" s="1051"/>
      <c r="BZ51" s="1051"/>
      <c r="CA51" s="1051"/>
      <c r="CB51" s="1051"/>
      <c r="CC51" s="1051"/>
      <c r="CD51" s="1051"/>
      <c r="CE51" s="1051"/>
      <c r="CF51" s="70"/>
      <c r="CG51" s="70"/>
      <c r="CH51" s="70"/>
      <c r="CI51" s="70"/>
      <c r="CJ51" s="70"/>
      <c r="CK51" s="70"/>
      <c r="CL51" s="70"/>
      <c r="CM51" s="70"/>
      <c r="CN51" s="70"/>
      <c r="CO51" s="70"/>
      <c r="CP51" s="70"/>
      <c r="CQ51" s="70"/>
      <c r="CR51" s="70"/>
      <c r="CS51" s="70"/>
      <c r="CT51" s="70"/>
      <c r="CU51" s="117"/>
      <c r="CV51" s="117"/>
      <c r="CW51" s="117"/>
      <c r="CX51" s="117"/>
      <c r="CY51" s="117"/>
      <c r="CZ51" s="117"/>
      <c r="DA51" s="117"/>
      <c r="DB51" s="117"/>
      <c r="DC51" s="117"/>
      <c r="DD51" s="117"/>
      <c r="DE51" s="117"/>
      <c r="DF51" s="117"/>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70"/>
      <c r="FK51" s="70"/>
      <c r="FL51" s="70"/>
      <c r="FM51" s="70"/>
      <c r="FN51" s="70"/>
      <c r="FO51" s="70"/>
      <c r="FP51" s="70"/>
      <c r="FQ51" s="70"/>
      <c r="FR51" s="70"/>
      <c r="FS51" s="70"/>
      <c r="FT51" s="69"/>
      <c r="FU51" s="69"/>
      <c r="FV51" s="69"/>
      <c r="FW51" s="69"/>
      <c r="FX51" s="69"/>
      <c r="FY51" s="69"/>
      <c r="FZ51" s="69"/>
      <c r="GA51" s="69"/>
      <c r="GB51" s="69"/>
      <c r="GC51" s="69"/>
      <c r="GD51" s="69"/>
      <c r="GE51" s="69"/>
      <c r="GF51" s="69"/>
      <c r="GG51" s="69"/>
      <c r="GH51" s="69"/>
      <c r="GI51" s="69"/>
      <c r="GJ51" s="69"/>
      <c r="GK51" s="69"/>
      <c r="GL51" s="69"/>
      <c r="GM51" s="69"/>
      <c r="GN51" s="69"/>
      <c r="GO51" s="69"/>
      <c r="GP51" s="69"/>
      <c r="GQ51" s="69"/>
      <c r="GR51" s="69"/>
      <c r="GS51" s="69"/>
      <c r="GT51" s="69"/>
      <c r="GU51" s="69"/>
      <c r="GV51" s="69"/>
      <c r="GW51" s="69"/>
      <c r="GX51" s="69"/>
      <c r="GY51" s="69"/>
      <c r="GZ51" s="69"/>
    </row>
    <row r="52" spans="5:209" s="68" customFormat="1" ht="20.100000000000001" customHeight="1" x14ac:dyDescent="0.2">
      <c r="E52" s="1063"/>
      <c r="F52" s="1063"/>
      <c r="G52" s="1063"/>
      <c r="H52" s="1063"/>
      <c r="I52" s="1063"/>
      <c r="J52" s="1063"/>
      <c r="K52" s="1063"/>
      <c r="L52" s="1063"/>
      <c r="M52" s="1063"/>
      <c r="N52" s="1063"/>
      <c r="O52" s="1063"/>
      <c r="P52" s="1063"/>
      <c r="Q52" s="81"/>
      <c r="R52" s="225"/>
      <c r="S52" s="1070"/>
      <c r="T52" s="1070"/>
      <c r="U52" s="1070"/>
      <c r="V52" s="1070"/>
      <c r="W52" s="1055" t="s">
        <v>397</v>
      </c>
      <c r="X52" s="1055"/>
      <c r="Y52" s="1055"/>
      <c r="Z52" s="1055"/>
      <c r="AA52" s="1055"/>
      <c r="AB52" s="1055"/>
      <c r="AC52" s="1055"/>
      <c r="AD52" s="1055"/>
      <c r="AE52" s="1055"/>
      <c r="AF52" s="1055"/>
      <c r="AG52" s="1055"/>
      <c r="AH52" s="1055"/>
      <c r="AI52" s="1055"/>
      <c r="AJ52" s="1055"/>
      <c r="AK52" s="1055"/>
      <c r="AL52" s="1055" t="s">
        <v>664</v>
      </c>
      <c r="AM52" s="1055"/>
      <c r="AN52" s="1055"/>
      <c r="AO52" s="1055"/>
      <c r="AP52" s="1055"/>
      <c r="AQ52" s="1055"/>
      <c r="AR52" s="1055"/>
      <c r="AS52" s="1055"/>
      <c r="AT52" s="1055"/>
      <c r="AU52" s="1055"/>
      <c r="AV52" s="1055"/>
      <c r="AW52" s="1055"/>
      <c r="AX52" s="1055"/>
      <c r="AY52" s="1055"/>
      <c r="AZ52" s="1055"/>
      <c r="BA52" s="1055"/>
      <c r="BB52" s="1055"/>
      <c r="BC52" s="70"/>
      <c r="BD52" s="1044">
        <f t="shared" si="9"/>
        <v>15</v>
      </c>
      <c r="BE52" s="1044"/>
      <c r="BF52" s="1044"/>
      <c r="BG52" s="1044"/>
      <c r="BH52" s="1044"/>
      <c r="BI52" s="1044"/>
      <c r="BJ52" s="1044"/>
      <c r="BK52" s="1044"/>
      <c r="BL52" s="1044"/>
      <c r="BM52" s="70"/>
      <c r="BN52" s="1044">
        <f>'CH Equipe'!AH78</f>
        <v>144</v>
      </c>
      <c r="BO52" s="1044"/>
      <c r="BP52" s="1044"/>
      <c r="BQ52" s="1044"/>
      <c r="BR52" s="1044"/>
      <c r="BS52" s="1044"/>
      <c r="BT52" s="1044"/>
      <c r="BU52" s="1044"/>
      <c r="BV52" s="1044"/>
      <c r="BW52" s="1051">
        <f t="shared" si="8"/>
        <v>3.2727272727272729</v>
      </c>
      <c r="BX52" s="1051"/>
      <c r="BY52" s="1051"/>
      <c r="BZ52" s="1051"/>
      <c r="CA52" s="1051"/>
      <c r="CB52" s="1051"/>
      <c r="CC52" s="1051"/>
      <c r="CD52" s="1051"/>
      <c r="CE52" s="1051"/>
      <c r="CF52" s="70"/>
      <c r="CG52" s="70"/>
      <c r="CH52" s="70"/>
      <c r="CI52" s="70"/>
      <c r="CJ52" s="70"/>
      <c r="CK52" s="70"/>
      <c r="CL52" s="70"/>
      <c r="CM52" s="70"/>
      <c r="CN52" s="70"/>
      <c r="CO52" s="70"/>
      <c r="CP52" s="70"/>
      <c r="CQ52" s="70"/>
      <c r="CR52" s="70"/>
      <c r="CS52" s="70"/>
      <c r="CT52" s="70"/>
      <c r="CU52" s="117"/>
      <c r="CV52" s="117"/>
      <c r="CW52" s="117"/>
      <c r="CX52" s="117"/>
      <c r="CY52" s="117"/>
      <c r="CZ52" s="117"/>
      <c r="DA52" s="117"/>
      <c r="DB52" s="117"/>
      <c r="DC52" s="117"/>
      <c r="DD52" s="117"/>
      <c r="DE52" s="117"/>
      <c r="DF52" s="117"/>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70"/>
      <c r="FK52" s="70"/>
      <c r="FL52" s="70"/>
      <c r="FM52" s="70"/>
      <c r="FN52" s="70"/>
      <c r="FO52" s="70"/>
      <c r="FP52" s="70"/>
      <c r="FQ52" s="70"/>
      <c r="FR52" s="70"/>
      <c r="FS52" s="70"/>
      <c r="FT52" s="69"/>
      <c r="FU52" s="69"/>
      <c r="FV52" s="69"/>
      <c r="FW52" s="69"/>
      <c r="FX52" s="69"/>
      <c r="FY52" s="69"/>
      <c r="FZ52" s="69"/>
      <c r="GA52" s="69"/>
      <c r="GB52" s="69"/>
      <c r="GC52" s="69"/>
      <c r="GD52" s="69"/>
      <c r="GE52" s="69"/>
      <c r="GF52" s="69"/>
      <c r="GG52" s="69"/>
      <c r="GH52" s="69"/>
      <c r="GI52" s="69"/>
      <c r="GJ52" s="69"/>
      <c r="GK52" s="69"/>
      <c r="GL52" s="69"/>
      <c r="GM52" s="69"/>
      <c r="GN52" s="69"/>
      <c r="GO52" s="69"/>
      <c r="GP52" s="69"/>
      <c r="GQ52" s="69"/>
      <c r="GR52" s="69"/>
      <c r="GS52" s="69"/>
      <c r="GT52" s="69"/>
      <c r="GU52" s="69"/>
      <c r="GV52" s="69"/>
      <c r="GW52" s="69"/>
      <c r="GX52" s="69"/>
      <c r="GY52" s="69"/>
      <c r="GZ52" s="69"/>
    </row>
    <row r="53" spans="5:209" s="68" customFormat="1" ht="20.100000000000001" customHeight="1" x14ac:dyDescent="0.2">
      <c r="E53" s="1063"/>
      <c r="F53" s="1063"/>
      <c r="G53" s="1063"/>
      <c r="H53" s="1063"/>
      <c r="I53" s="1063"/>
      <c r="J53" s="1063"/>
      <c r="K53" s="1063"/>
      <c r="L53" s="1063"/>
      <c r="M53" s="1063"/>
      <c r="N53" s="1063"/>
      <c r="O53" s="1063"/>
      <c r="P53" s="1063"/>
      <c r="Q53" s="81"/>
      <c r="R53" s="225"/>
      <c r="S53" s="1070"/>
      <c r="T53" s="1070"/>
      <c r="U53" s="1070"/>
      <c r="V53" s="1070"/>
      <c r="W53" s="1055"/>
      <c r="X53" s="1055"/>
      <c r="Y53" s="1055"/>
      <c r="Z53" s="1055"/>
      <c r="AA53" s="1055"/>
      <c r="AB53" s="1055"/>
      <c r="AC53" s="1055"/>
      <c r="AD53" s="1055"/>
      <c r="AE53" s="1055"/>
      <c r="AF53" s="1055"/>
      <c r="AG53" s="1055"/>
      <c r="AH53" s="1055"/>
      <c r="AI53" s="1055"/>
      <c r="AJ53" s="1055"/>
      <c r="AK53" s="1055"/>
      <c r="AL53" s="1055" t="s">
        <v>665</v>
      </c>
      <c r="AM53" s="1055"/>
      <c r="AN53" s="1055"/>
      <c r="AO53" s="1055"/>
      <c r="AP53" s="1055"/>
      <c r="AQ53" s="1055"/>
      <c r="AR53" s="1055"/>
      <c r="AS53" s="1055"/>
      <c r="AT53" s="1055"/>
      <c r="AU53" s="1055"/>
      <c r="AV53" s="1055"/>
      <c r="AW53" s="1055"/>
      <c r="AX53" s="1055"/>
      <c r="AY53" s="1055"/>
      <c r="AZ53" s="1055"/>
      <c r="BA53" s="1055"/>
      <c r="BB53" s="1055"/>
      <c r="BC53" s="70"/>
      <c r="BD53" s="1044">
        <f t="shared" si="9"/>
        <v>15</v>
      </c>
      <c r="BE53" s="1044"/>
      <c r="BF53" s="1044"/>
      <c r="BG53" s="1044"/>
      <c r="BH53" s="1044"/>
      <c r="BI53" s="1044"/>
      <c r="BJ53" s="1044"/>
      <c r="BK53" s="1044"/>
      <c r="BL53" s="1044"/>
      <c r="BM53" s="70"/>
      <c r="BN53" s="1044">
        <f>'CH Equipe'!AQ78</f>
        <v>144</v>
      </c>
      <c r="BO53" s="1044"/>
      <c r="BP53" s="1044"/>
      <c r="BQ53" s="1044"/>
      <c r="BR53" s="1044"/>
      <c r="BS53" s="1044"/>
      <c r="BT53" s="1044"/>
      <c r="BU53" s="1044"/>
      <c r="BV53" s="1044"/>
      <c r="BW53" s="1051">
        <f t="shared" si="8"/>
        <v>3.2727272727272729</v>
      </c>
      <c r="BX53" s="1051"/>
      <c r="BY53" s="1051"/>
      <c r="BZ53" s="1051"/>
      <c r="CA53" s="1051"/>
      <c r="CB53" s="1051"/>
      <c r="CC53" s="1051"/>
      <c r="CD53" s="1051"/>
      <c r="CE53" s="1051"/>
      <c r="CF53" s="70"/>
      <c r="CG53" s="70"/>
      <c r="CH53" s="70"/>
      <c r="CI53" s="70"/>
      <c r="CJ53" s="70"/>
      <c r="CK53" s="70"/>
      <c r="CL53" s="70"/>
      <c r="CM53" s="70"/>
      <c r="CN53" s="70"/>
      <c r="CO53" s="70"/>
      <c r="CP53" s="70"/>
      <c r="CQ53" s="70"/>
      <c r="CR53" s="70"/>
      <c r="CS53" s="70"/>
      <c r="CT53" s="70"/>
      <c r="CU53" s="117"/>
      <c r="CV53" s="117"/>
      <c r="CW53" s="117"/>
      <c r="CX53" s="117"/>
      <c r="CY53" s="117"/>
      <c r="CZ53" s="117"/>
      <c r="DA53" s="117"/>
      <c r="DB53" s="117"/>
      <c r="DC53" s="117"/>
      <c r="DD53" s="117"/>
      <c r="DE53" s="117"/>
      <c r="DF53" s="117"/>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70"/>
      <c r="FK53" s="70"/>
      <c r="FL53" s="70"/>
      <c r="FM53" s="70"/>
      <c r="FN53" s="70"/>
      <c r="FO53" s="70"/>
      <c r="FP53" s="70"/>
      <c r="FQ53" s="70"/>
      <c r="FR53" s="70"/>
      <c r="FS53" s="70"/>
      <c r="FT53" s="69"/>
      <c r="FU53" s="69"/>
      <c r="FV53" s="69"/>
      <c r="FW53" s="69"/>
      <c r="FX53" s="69"/>
      <c r="FY53" s="69"/>
      <c r="FZ53" s="69"/>
      <c r="GA53" s="69"/>
      <c r="GB53" s="69"/>
      <c r="GC53" s="69"/>
      <c r="GD53" s="69"/>
      <c r="GE53" s="69"/>
      <c r="GF53" s="69"/>
      <c r="GG53" s="69"/>
      <c r="GH53" s="69"/>
      <c r="GI53" s="69"/>
      <c r="GJ53" s="69"/>
      <c r="GK53" s="69"/>
      <c r="GL53" s="69"/>
      <c r="GM53" s="69"/>
      <c r="GN53" s="69"/>
      <c r="GO53" s="69"/>
      <c r="GP53" s="69"/>
      <c r="GQ53" s="69"/>
      <c r="GR53" s="69"/>
      <c r="GS53" s="69"/>
      <c r="GT53" s="69"/>
      <c r="GU53" s="69"/>
      <c r="GV53" s="69"/>
      <c r="GW53" s="69"/>
      <c r="GX53" s="69"/>
      <c r="GY53" s="69"/>
      <c r="GZ53" s="69"/>
    </row>
    <row r="54" spans="5:209" s="68" customFormat="1" ht="5.0999999999999996" customHeight="1" x14ac:dyDescent="0.2">
      <c r="E54" s="1063"/>
      <c r="F54" s="1063"/>
      <c r="G54" s="1063"/>
      <c r="H54" s="1063"/>
      <c r="I54" s="1063"/>
      <c r="J54" s="1063"/>
      <c r="K54" s="1063"/>
      <c r="L54" s="1063"/>
      <c r="M54" s="1063"/>
      <c r="N54" s="1063"/>
      <c r="O54" s="1063"/>
      <c r="P54" s="1063"/>
      <c r="Q54" s="81"/>
      <c r="R54" s="225"/>
      <c r="S54" s="1060"/>
      <c r="T54" s="1060"/>
      <c r="U54" s="1060"/>
      <c r="V54" s="1060"/>
      <c r="W54" s="1060"/>
      <c r="X54" s="1060"/>
      <c r="Y54" s="1060"/>
      <c r="Z54" s="1060"/>
      <c r="AA54" s="1060"/>
      <c r="AB54" s="1060"/>
      <c r="AC54" s="1060"/>
      <c r="AD54" s="1060"/>
      <c r="AE54" s="1060"/>
      <c r="AF54" s="1060"/>
      <c r="AG54" s="1060"/>
      <c r="AH54" s="1060"/>
      <c r="AI54" s="1060"/>
      <c r="AJ54" s="1060"/>
      <c r="AK54" s="1060"/>
      <c r="AL54" s="1060"/>
      <c r="AM54" s="1060"/>
      <c r="AN54" s="1060"/>
      <c r="AO54" s="1060"/>
      <c r="AP54" s="1060"/>
      <c r="AQ54" s="1060"/>
      <c r="AR54" s="1060"/>
      <c r="AS54" s="1060"/>
      <c r="AT54" s="1060"/>
      <c r="AU54" s="1060"/>
      <c r="AV54" s="1060"/>
      <c r="AW54" s="1060"/>
      <c r="AX54" s="1060"/>
      <c r="AY54" s="1060"/>
      <c r="AZ54" s="1060"/>
      <c r="BA54" s="1060"/>
      <c r="BB54" s="1060"/>
      <c r="BC54" s="70"/>
      <c r="BD54" s="961"/>
      <c r="BE54" s="961"/>
      <c r="BF54" s="961"/>
      <c r="BG54" s="961"/>
      <c r="BH54" s="961"/>
      <c r="BI54" s="961"/>
      <c r="BJ54" s="961"/>
      <c r="BK54" s="961"/>
      <c r="BL54" s="961"/>
      <c r="BM54" s="70"/>
      <c r="BN54" s="70"/>
      <c r="BO54" s="70"/>
      <c r="BP54" s="70"/>
      <c r="BQ54" s="70"/>
      <c r="BR54" s="70"/>
      <c r="BS54" s="70"/>
      <c r="BT54" s="70"/>
      <c r="BU54" s="70"/>
      <c r="BV54" s="70"/>
      <c r="BW54" s="70"/>
      <c r="BX54" s="70"/>
      <c r="BY54" s="70"/>
      <c r="BZ54" s="70"/>
      <c r="CA54" s="70"/>
      <c r="CB54" s="70"/>
      <c r="CC54" s="70"/>
      <c r="CD54" s="70"/>
      <c r="CE54" s="70"/>
      <c r="CF54" s="70"/>
      <c r="CG54" s="70"/>
      <c r="CH54" s="961"/>
      <c r="CI54" s="961"/>
      <c r="CJ54" s="961"/>
      <c r="CK54" s="961"/>
      <c r="CL54" s="961"/>
      <c r="CM54" s="961"/>
      <c r="CN54" s="961"/>
      <c r="CO54" s="961"/>
      <c r="CP54" s="961"/>
      <c r="CQ54" s="961"/>
      <c r="CR54" s="961"/>
      <c r="CS54" s="961"/>
      <c r="CT54" s="70"/>
      <c r="CU54" s="961"/>
      <c r="CV54" s="961"/>
      <c r="CW54" s="961"/>
      <c r="CX54" s="961"/>
      <c r="CY54" s="961"/>
      <c r="CZ54" s="961"/>
      <c r="DA54" s="961"/>
      <c r="DB54" s="961"/>
      <c r="DC54" s="961"/>
      <c r="DD54" s="961"/>
      <c r="DE54" s="961"/>
      <c r="DF54" s="96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70"/>
      <c r="FK54" s="70"/>
      <c r="FL54" s="70"/>
      <c r="FM54" s="70"/>
      <c r="FN54" s="70"/>
      <c r="FO54" s="70"/>
      <c r="FP54" s="70"/>
      <c r="FQ54" s="70"/>
      <c r="FR54" s="70"/>
      <c r="FS54" s="70"/>
      <c r="FT54" s="69"/>
      <c r="FU54" s="69"/>
      <c r="FV54" s="69"/>
      <c r="FW54" s="69"/>
      <c r="FX54" s="69"/>
      <c r="FY54" s="69"/>
      <c r="FZ54" s="69"/>
      <c r="GA54" s="69"/>
      <c r="GB54" s="69"/>
      <c r="GC54" s="69"/>
      <c r="GD54" s="69"/>
      <c r="GE54" s="69"/>
      <c r="GF54" s="69"/>
      <c r="GG54" s="69"/>
      <c r="GH54" s="69"/>
      <c r="GI54" s="69"/>
      <c r="GJ54" s="69"/>
      <c r="GK54" s="69"/>
      <c r="GL54" s="69"/>
      <c r="GM54" s="69"/>
      <c r="GN54" s="69"/>
      <c r="GO54" s="69"/>
      <c r="GP54" s="69"/>
      <c r="GQ54" s="69"/>
      <c r="GR54" s="69"/>
      <c r="GS54" s="69"/>
      <c r="GT54" s="69"/>
      <c r="GU54" s="69"/>
      <c r="GV54" s="69"/>
      <c r="GW54" s="69"/>
      <c r="GX54" s="69"/>
      <c r="GY54" s="69"/>
      <c r="GZ54" s="69"/>
    </row>
    <row r="55" spans="5:209" s="68" customFormat="1" ht="24.75" customHeight="1" x14ac:dyDescent="0.2">
      <c r="E55" s="1063"/>
      <c r="F55" s="1063"/>
      <c r="G55" s="1063"/>
      <c r="H55" s="1063"/>
      <c r="I55" s="1063"/>
      <c r="J55" s="1063"/>
      <c r="K55" s="1063"/>
      <c r="L55" s="1063"/>
      <c r="M55" s="1063"/>
      <c r="N55" s="1063"/>
      <c r="O55" s="1063"/>
      <c r="P55" s="1063"/>
      <c r="Q55" s="81"/>
      <c r="R55" s="225"/>
      <c r="S55" s="1060"/>
      <c r="T55" s="1060"/>
      <c r="U55" s="1060"/>
      <c r="V55" s="1060"/>
      <c r="W55" s="1060"/>
      <c r="X55" s="1060"/>
      <c r="Y55" s="1060"/>
      <c r="Z55" s="1060"/>
      <c r="AA55" s="1060"/>
      <c r="AB55" s="1060"/>
      <c r="AC55" s="1060"/>
      <c r="AD55" s="1060"/>
      <c r="AE55" s="1060"/>
      <c r="AF55" s="1060"/>
      <c r="AG55" s="1060"/>
      <c r="AH55" s="1060"/>
      <c r="AI55" s="1060"/>
      <c r="AJ55" s="1060"/>
      <c r="AK55" s="1060"/>
      <c r="AL55" s="1060"/>
      <c r="AM55" s="1060"/>
      <c r="AN55" s="1060"/>
      <c r="AO55" s="1060"/>
      <c r="AP55" s="1060"/>
      <c r="AQ55" s="1060"/>
      <c r="AR55" s="1060"/>
      <c r="AS55" s="1060"/>
      <c r="AT55" s="1060"/>
      <c r="AU55" s="1060"/>
      <c r="AV55" s="1060"/>
      <c r="AW55" s="1060"/>
      <c r="AX55" s="1060"/>
      <c r="AY55" s="1060"/>
      <c r="AZ55" s="1060"/>
      <c r="BA55" s="1060"/>
      <c r="BB55" s="1060"/>
      <c r="BC55" s="70"/>
      <c r="BD55" s="961"/>
      <c r="BE55" s="961"/>
      <c r="BF55" s="961"/>
      <c r="BG55" s="961"/>
      <c r="BH55" s="961"/>
      <c r="BI55" s="961"/>
      <c r="BJ55" s="961"/>
      <c r="BK55" s="961"/>
      <c r="BL55" s="961"/>
      <c r="BM55" s="70"/>
      <c r="BN55" s="69"/>
      <c r="BO55" s="69"/>
      <c r="BP55" s="69"/>
      <c r="BQ55" s="69"/>
      <c r="BR55" s="69"/>
      <c r="BS55" s="69"/>
      <c r="BT55" s="69"/>
      <c r="BU55" s="69"/>
      <c r="BV55" s="69"/>
      <c r="BW55" s="1044" t="s">
        <v>666</v>
      </c>
      <c r="BX55" s="1044"/>
      <c r="BY55" s="1044"/>
      <c r="BZ55" s="1044"/>
      <c r="CA55" s="1044"/>
      <c r="CB55" s="1044"/>
      <c r="CC55" s="1044"/>
      <c r="CD55" s="1044"/>
      <c r="CE55" s="1044"/>
      <c r="CF55" s="70"/>
      <c r="CG55" s="70"/>
      <c r="CH55" s="965"/>
      <c r="CI55" s="966"/>
      <c r="CJ55" s="966"/>
      <c r="CK55" s="966"/>
      <c r="CL55" s="966"/>
      <c r="CM55" s="966"/>
      <c r="CN55" s="966"/>
      <c r="CO55" s="966"/>
      <c r="CP55" s="966"/>
      <c r="CQ55" s="966"/>
      <c r="CR55" s="966"/>
      <c r="CS55" s="967"/>
      <c r="CT55" s="70"/>
      <c r="CU55" s="1057">
        <f>SUM('[1]CH Equipe'!CG91:CO91)</f>
        <v>0</v>
      </c>
      <c r="CV55" s="1058"/>
      <c r="CW55" s="1058"/>
      <c r="CX55" s="1058"/>
      <c r="CY55" s="1058"/>
      <c r="CZ55" s="1058"/>
      <c r="DA55" s="1058"/>
      <c r="DB55" s="1058"/>
      <c r="DC55" s="1058"/>
      <c r="DD55" s="1058"/>
      <c r="DE55" s="1058"/>
      <c r="DF55" s="1059"/>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70"/>
      <c r="FK55" s="70"/>
      <c r="FL55" s="70"/>
      <c r="FM55" s="70"/>
      <c r="FN55" s="70"/>
      <c r="FO55" s="70"/>
      <c r="FP55" s="70"/>
      <c r="FQ55" s="70"/>
      <c r="FR55" s="70"/>
      <c r="FS55" s="70"/>
      <c r="FT55" s="69"/>
      <c r="FU55" s="69"/>
      <c r="FV55" s="69"/>
      <c r="FW55" s="69"/>
      <c r="FX55" s="69"/>
      <c r="FY55" s="69"/>
      <c r="FZ55" s="69"/>
      <c r="GA55" s="69"/>
      <c r="GB55" s="69"/>
      <c r="GC55" s="69"/>
      <c r="GD55" s="69"/>
      <c r="GE55" s="69"/>
      <c r="GF55" s="69"/>
      <c r="GG55" s="69"/>
      <c r="GH55" s="69"/>
      <c r="GI55" s="69"/>
      <c r="GJ55" s="69"/>
      <c r="GK55" s="69"/>
      <c r="GL55" s="69"/>
      <c r="GM55" s="69"/>
      <c r="GN55" s="69"/>
      <c r="GO55" s="69"/>
      <c r="GP55" s="69"/>
      <c r="GQ55" s="69"/>
      <c r="GR55" s="69"/>
      <c r="GS55" s="69"/>
      <c r="GT55" s="69"/>
      <c r="GU55" s="69"/>
      <c r="GV55" s="69"/>
      <c r="GW55" s="69"/>
      <c r="GX55" s="69"/>
      <c r="GY55" s="69"/>
      <c r="GZ55" s="69"/>
    </row>
    <row r="56" spans="5:209" s="68" customFormat="1" ht="5.0999999999999996" customHeight="1" x14ac:dyDescent="0.2">
      <c r="E56" s="1063"/>
      <c r="F56" s="1063"/>
      <c r="G56" s="1063"/>
      <c r="H56" s="1063"/>
      <c r="I56" s="1063"/>
      <c r="J56" s="1063"/>
      <c r="K56" s="1063"/>
      <c r="L56" s="1063"/>
      <c r="M56" s="1063"/>
      <c r="N56" s="1063"/>
      <c r="O56" s="1063"/>
      <c r="P56" s="1063"/>
      <c r="Q56" s="81"/>
      <c r="R56" s="225"/>
      <c r="S56" s="1060"/>
      <c r="T56" s="1060"/>
      <c r="U56" s="1060"/>
      <c r="V56" s="1060"/>
      <c r="W56" s="1060"/>
      <c r="X56" s="1060"/>
      <c r="Y56" s="1060"/>
      <c r="Z56" s="1060"/>
      <c r="AA56" s="1060"/>
      <c r="AB56" s="1060"/>
      <c r="AC56" s="1060"/>
      <c r="AD56" s="1060"/>
      <c r="AE56" s="1060"/>
      <c r="AF56" s="1060"/>
      <c r="AG56" s="1060"/>
      <c r="AH56" s="1060"/>
      <c r="AI56" s="1060"/>
      <c r="AJ56" s="1060"/>
      <c r="AK56" s="1060"/>
      <c r="AL56" s="1060"/>
      <c r="AM56" s="1060"/>
      <c r="AN56" s="1060"/>
      <c r="AO56" s="1060"/>
      <c r="AP56" s="1060"/>
      <c r="AQ56" s="1060"/>
      <c r="AR56" s="1060"/>
      <c r="AS56" s="1060"/>
      <c r="AT56" s="1060"/>
      <c r="AU56" s="1060"/>
      <c r="AV56" s="1060"/>
      <c r="AW56" s="1060"/>
      <c r="AX56" s="1060"/>
      <c r="AY56" s="1060"/>
      <c r="AZ56" s="1060"/>
      <c r="BA56" s="1060"/>
      <c r="BB56" s="1060"/>
      <c r="BC56" s="70"/>
      <c r="BD56" s="961"/>
      <c r="BE56" s="961"/>
      <c r="BF56" s="961"/>
      <c r="BG56" s="961"/>
      <c r="BH56" s="961"/>
      <c r="BI56" s="961"/>
      <c r="BJ56" s="961"/>
      <c r="BK56" s="961"/>
      <c r="BL56" s="961"/>
      <c r="BM56" s="70"/>
      <c r="BN56" s="70"/>
      <c r="BO56" s="70"/>
      <c r="BP56" s="70"/>
      <c r="BQ56" s="70"/>
      <c r="BR56" s="70"/>
      <c r="BS56" s="70"/>
      <c r="BT56" s="70"/>
      <c r="BU56" s="70"/>
      <c r="BV56" s="70"/>
      <c r="BW56" s="70"/>
      <c r="BX56" s="70"/>
      <c r="BY56" s="70"/>
      <c r="BZ56" s="70"/>
      <c r="CA56" s="70"/>
      <c r="CB56" s="70"/>
      <c r="CC56" s="70"/>
      <c r="CD56" s="70"/>
      <c r="CE56" s="70"/>
      <c r="CF56" s="70"/>
      <c r="CG56" s="70"/>
      <c r="CH56" s="961"/>
      <c r="CI56" s="961"/>
      <c r="CJ56" s="961"/>
      <c r="CK56" s="961"/>
      <c r="CL56" s="961"/>
      <c r="CM56" s="961"/>
      <c r="CN56" s="961"/>
      <c r="CO56" s="961"/>
      <c r="CP56" s="961"/>
      <c r="CQ56" s="961"/>
      <c r="CR56" s="961"/>
      <c r="CS56" s="961"/>
      <c r="CT56" s="70"/>
      <c r="CU56" s="961"/>
      <c r="CV56" s="961"/>
      <c r="CW56" s="961"/>
      <c r="CX56" s="961"/>
      <c r="CY56" s="961"/>
      <c r="CZ56" s="961"/>
      <c r="DA56" s="961"/>
      <c r="DB56" s="961"/>
      <c r="DC56" s="961"/>
      <c r="DD56" s="961"/>
      <c r="DE56" s="961"/>
      <c r="DF56" s="96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70"/>
      <c r="FK56" s="70"/>
      <c r="FL56" s="70"/>
      <c r="FM56" s="70"/>
      <c r="FN56" s="70"/>
      <c r="FO56" s="70"/>
      <c r="FP56" s="70"/>
      <c r="FQ56" s="70"/>
      <c r="FR56" s="70"/>
      <c r="FS56" s="70"/>
      <c r="FT56" s="69"/>
      <c r="FU56" s="69"/>
      <c r="FV56" s="69"/>
      <c r="FW56" s="69"/>
      <c r="FX56" s="69"/>
      <c r="FY56" s="69"/>
      <c r="FZ56" s="69"/>
      <c r="GA56" s="69"/>
      <c r="GB56" s="69"/>
      <c r="GC56" s="69"/>
      <c r="GD56" s="69"/>
      <c r="GE56" s="69"/>
      <c r="GF56" s="69"/>
      <c r="GG56" s="69"/>
      <c r="GH56" s="69"/>
      <c r="GI56" s="69"/>
      <c r="GJ56" s="69"/>
      <c r="GK56" s="69"/>
      <c r="GL56" s="69"/>
      <c r="GM56" s="69"/>
      <c r="GN56" s="69"/>
      <c r="GO56" s="69"/>
      <c r="GP56" s="69"/>
      <c r="GQ56" s="69"/>
      <c r="GR56" s="69"/>
      <c r="GS56" s="69"/>
      <c r="GT56" s="69"/>
      <c r="GU56" s="69"/>
      <c r="GV56" s="69"/>
      <c r="GW56" s="69"/>
      <c r="GX56" s="69"/>
      <c r="GY56" s="69"/>
      <c r="GZ56" s="69"/>
    </row>
    <row r="57" spans="5:209" s="68" customFormat="1" ht="26.25" customHeight="1" x14ac:dyDescent="0.2">
      <c r="E57" s="1063"/>
      <c r="F57" s="1063"/>
      <c r="G57" s="1063"/>
      <c r="H57" s="1063"/>
      <c r="I57" s="1063"/>
      <c r="J57" s="1063"/>
      <c r="K57" s="1063"/>
      <c r="L57" s="1063"/>
      <c r="M57" s="1063"/>
      <c r="N57" s="1063"/>
      <c r="O57" s="1063"/>
      <c r="P57" s="1063"/>
      <c r="Q57" s="81"/>
      <c r="R57" s="225"/>
      <c r="S57" s="1061" t="s">
        <v>96</v>
      </c>
      <c r="T57" s="1055"/>
      <c r="U57" s="1055"/>
      <c r="V57" s="1055"/>
      <c r="W57" s="1055"/>
      <c r="X57" s="1055"/>
      <c r="Y57" s="1055"/>
      <c r="Z57" s="1055"/>
      <c r="AA57" s="1055"/>
      <c r="AB57" s="1055"/>
      <c r="AC57" s="1055"/>
      <c r="AD57" s="1055"/>
      <c r="AE57" s="1055"/>
      <c r="AF57" s="1055"/>
      <c r="AG57" s="1055"/>
      <c r="AH57" s="1055"/>
      <c r="AI57" s="1055"/>
      <c r="AJ57" s="1055"/>
      <c r="AK57" s="1055"/>
      <c r="AL57" s="1055" t="s">
        <v>667</v>
      </c>
      <c r="AM57" s="1055"/>
      <c r="AN57" s="1055"/>
      <c r="AO57" s="1055"/>
      <c r="AP57" s="1055"/>
      <c r="AQ57" s="1055"/>
      <c r="AR57" s="1055"/>
      <c r="AS57" s="1055"/>
      <c r="AT57" s="1055"/>
      <c r="AU57" s="1055"/>
      <c r="AV57" s="1055"/>
      <c r="AW57" s="1055"/>
      <c r="AX57" s="1055"/>
      <c r="AY57" s="1055"/>
      <c r="AZ57" s="1055"/>
      <c r="BA57" s="1055"/>
      <c r="BB57" s="1055"/>
      <c r="BC57" s="70"/>
      <c r="BD57" s="1044">
        <f>BD37</f>
        <v>15</v>
      </c>
      <c r="BE57" s="1044"/>
      <c r="BF57" s="1044"/>
      <c r="BG57" s="1044"/>
      <c r="BH57" s="1044"/>
      <c r="BI57" s="1044"/>
      <c r="BJ57" s="1044"/>
      <c r="BK57" s="1044"/>
      <c r="BL57" s="1044"/>
      <c r="BM57" s="70"/>
      <c r="BN57" s="961"/>
      <c r="BO57" s="961"/>
      <c r="BP57" s="961"/>
      <c r="BQ57" s="961"/>
      <c r="BR57" s="961"/>
      <c r="BS57" s="961"/>
      <c r="BT57" s="961"/>
      <c r="BU57" s="961"/>
      <c r="BV57" s="961"/>
      <c r="BW57" s="1044">
        <f>'CH Equipe'!CG117</f>
        <v>11.41895647159091</v>
      </c>
      <c r="BX57" s="1044"/>
      <c r="BY57" s="1044"/>
      <c r="BZ57" s="1044"/>
      <c r="CA57" s="1044"/>
      <c r="CB57" s="1044"/>
      <c r="CC57" s="1044"/>
      <c r="CD57" s="1044"/>
      <c r="CE57" s="1044"/>
      <c r="CF57" s="70"/>
      <c r="CG57" s="70"/>
      <c r="CH57" s="965"/>
      <c r="CI57" s="966"/>
      <c r="CJ57" s="966"/>
      <c r="CK57" s="966"/>
      <c r="CL57" s="966"/>
      <c r="CM57" s="966"/>
      <c r="CN57" s="966"/>
      <c r="CO57" s="966"/>
      <c r="CP57" s="966"/>
      <c r="CQ57" s="966"/>
      <c r="CR57" s="966"/>
      <c r="CS57" s="967"/>
      <c r="CT57" s="70"/>
      <c r="CU57" s="1057">
        <f>SUM('[1]CH Equipe'!CG93:CO93)</f>
        <v>0</v>
      </c>
      <c r="CV57" s="1058"/>
      <c r="CW57" s="1058"/>
      <c r="CX57" s="1058"/>
      <c r="CY57" s="1058"/>
      <c r="CZ57" s="1058"/>
      <c r="DA57" s="1058"/>
      <c r="DB57" s="1058"/>
      <c r="DC57" s="1058"/>
      <c r="DD57" s="1058"/>
      <c r="DE57" s="1058"/>
      <c r="DF57" s="1059"/>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70"/>
      <c r="FK57" s="70"/>
      <c r="FL57" s="70"/>
      <c r="FM57" s="70"/>
      <c r="FN57" s="70"/>
      <c r="FO57" s="70"/>
      <c r="FP57" s="70"/>
      <c r="FQ57" s="70"/>
      <c r="FR57" s="70"/>
      <c r="FS57" s="70"/>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row>
    <row r="58" spans="5:209" s="68" customFormat="1" ht="5.0999999999999996" customHeight="1" x14ac:dyDescent="0.2">
      <c r="E58" s="1063"/>
      <c r="F58" s="1063"/>
      <c r="G58" s="1063"/>
      <c r="H58" s="1063"/>
      <c r="I58" s="1063"/>
      <c r="J58" s="1063"/>
      <c r="K58" s="1063"/>
      <c r="L58" s="1063"/>
      <c r="M58" s="1063"/>
      <c r="N58" s="1063"/>
      <c r="O58" s="1063"/>
      <c r="P58" s="1063"/>
      <c r="Q58" s="81"/>
      <c r="R58" s="225"/>
      <c r="S58" s="1060"/>
      <c r="T58" s="1060"/>
      <c r="U58" s="1060"/>
      <c r="V58" s="1060"/>
      <c r="W58" s="1060"/>
      <c r="X58" s="1060"/>
      <c r="Y58" s="1060"/>
      <c r="Z58" s="1060"/>
      <c r="AA58" s="1060"/>
      <c r="AB58" s="1060"/>
      <c r="AC58" s="1060"/>
      <c r="AD58" s="1060"/>
      <c r="AE58" s="1060"/>
      <c r="AF58" s="1060"/>
      <c r="AG58" s="1060"/>
      <c r="AH58" s="1060"/>
      <c r="AI58" s="1060"/>
      <c r="AJ58" s="1060"/>
      <c r="AK58" s="1060"/>
      <c r="AL58" s="1060"/>
      <c r="AM58" s="1060"/>
      <c r="AN58" s="1060"/>
      <c r="AO58" s="1060"/>
      <c r="AP58" s="1060"/>
      <c r="AQ58" s="1060"/>
      <c r="AR58" s="1060"/>
      <c r="AS58" s="1060"/>
      <c r="AT58" s="1060"/>
      <c r="AU58" s="1060"/>
      <c r="AV58" s="1060"/>
      <c r="AW58" s="1060"/>
      <c r="AX58" s="1060"/>
      <c r="AY58" s="1060"/>
      <c r="AZ58" s="1060"/>
      <c r="BA58" s="1060"/>
      <c r="BB58" s="1060"/>
      <c r="BC58" s="70"/>
      <c r="BD58" s="961"/>
      <c r="BE58" s="961"/>
      <c r="BF58" s="961"/>
      <c r="BG58" s="961"/>
      <c r="BH58" s="961"/>
      <c r="BI58" s="961"/>
      <c r="BJ58" s="961"/>
      <c r="BK58" s="961"/>
      <c r="BL58" s="961"/>
      <c r="BM58" s="70"/>
      <c r="BN58" s="70"/>
      <c r="BO58" s="70"/>
      <c r="BP58" s="70"/>
      <c r="BQ58" s="70"/>
      <c r="BR58" s="70"/>
      <c r="BS58" s="70"/>
      <c r="BT58" s="70"/>
      <c r="BU58" s="70"/>
      <c r="BV58" s="70"/>
      <c r="BW58" s="70"/>
      <c r="BX58" s="70"/>
      <c r="BY58" s="70"/>
      <c r="BZ58" s="70"/>
      <c r="CA58" s="70"/>
      <c r="CB58" s="70"/>
      <c r="CC58" s="70"/>
      <c r="CD58" s="70"/>
      <c r="CE58" s="70"/>
      <c r="CF58" s="70"/>
      <c r="CG58" s="70"/>
      <c r="CH58" s="961"/>
      <c r="CI58" s="961"/>
      <c r="CJ58" s="961"/>
      <c r="CK58" s="961"/>
      <c r="CL58" s="961"/>
      <c r="CM58" s="961"/>
      <c r="CN58" s="961"/>
      <c r="CO58" s="961"/>
      <c r="CP58" s="961"/>
      <c r="CQ58" s="961"/>
      <c r="CR58" s="961"/>
      <c r="CS58" s="961"/>
      <c r="CT58" s="70"/>
      <c r="CU58" s="961"/>
      <c r="CV58" s="961"/>
      <c r="CW58" s="961"/>
      <c r="CX58" s="961"/>
      <c r="CY58" s="961"/>
      <c r="CZ58" s="961"/>
      <c r="DA58" s="961"/>
      <c r="DB58" s="961"/>
      <c r="DC58" s="961"/>
      <c r="DD58" s="961"/>
      <c r="DE58" s="961"/>
      <c r="DF58" s="96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70"/>
      <c r="FK58" s="70"/>
      <c r="FL58" s="70"/>
      <c r="FM58" s="70"/>
      <c r="FN58" s="70"/>
      <c r="FO58" s="70"/>
      <c r="FP58" s="70"/>
      <c r="FQ58" s="70"/>
      <c r="FR58" s="70"/>
      <c r="FS58" s="70"/>
      <c r="FT58" s="69"/>
      <c r="FU58" s="69"/>
      <c r="FV58" s="69"/>
      <c r="FW58" s="69"/>
      <c r="FX58" s="69"/>
      <c r="FY58" s="69"/>
      <c r="FZ58" s="69"/>
      <c r="GA58" s="69"/>
      <c r="GB58" s="69"/>
      <c r="GC58" s="69"/>
      <c r="GD58" s="69"/>
      <c r="GE58" s="69"/>
      <c r="GF58" s="69"/>
      <c r="GG58" s="69"/>
      <c r="GH58" s="69"/>
      <c r="GI58" s="69"/>
      <c r="GJ58" s="69"/>
      <c r="GK58" s="69"/>
      <c r="GL58" s="69"/>
      <c r="GM58" s="69"/>
      <c r="GN58" s="69"/>
      <c r="GO58" s="69"/>
      <c r="GP58" s="69"/>
      <c r="GQ58" s="69"/>
      <c r="GR58" s="69"/>
      <c r="GS58" s="69"/>
      <c r="GT58" s="69"/>
      <c r="GU58" s="69"/>
      <c r="GV58" s="69"/>
      <c r="GW58" s="69"/>
      <c r="GX58" s="69"/>
      <c r="GY58" s="69"/>
      <c r="GZ58" s="69"/>
    </row>
    <row r="59" spans="5:209" s="68" customFormat="1" ht="20.100000000000001" customHeight="1" x14ac:dyDescent="0.2">
      <c r="E59" s="1063"/>
      <c r="F59" s="1063"/>
      <c r="G59" s="1063"/>
      <c r="H59" s="1063"/>
      <c r="I59" s="1063"/>
      <c r="J59" s="1063"/>
      <c r="K59" s="1063"/>
      <c r="L59" s="1063"/>
      <c r="M59" s="1063"/>
      <c r="N59" s="1063"/>
      <c r="O59" s="1063"/>
      <c r="P59" s="1063"/>
      <c r="Q59" s="81"/>
      <c r="R59" s="225"/>
      <c r="S59" s="1055" t="s">
        <v>27</v>
      </c>
      <c r="T59" s="1055"/>
      <c r="U59" s="1055"/>
      <c r="V59" s="1055"/>
      <c r="W59" s="1055"/>
      <c r="X59" s="1055"/>
      <c r="Y59" s="1055"/>
      <c r="Z59" s="1055"/>
      <c r="AA59" s="1055"/>
      <c r="AB59" s="1055"/>
      <c r="AC59" s="1055"/>
      <c r="AD59" s="1055"/>
      <c r="AE59" s="1055"/>
      <c r="AF59" s="1055"/>
      <c r="AG59" s="1055"/>
      <c r="AH59" s="1055"/>
      <c r="AI59" s="1055"/>
      <c r="AJ59" s="1055"/>
      <c r="AK59" s="1055"/>
      <c r="AL59" s="1055"/>
      <c r="AM59" s="1055"/>
      <c r="AN59" s="1055"/>
      <c r="AO59" s="1055"/>
      <c r="AP59" s="1055"/>
      <c r="AQ59" s="1055"/>
      <c r="AR59" s="1055"/>
      <c r="AS59" s="1055"/>
      <c r="AT59" s="1055"/>
      <c r="AU59" s="1055"/>
      <c r="AV59" s="1055"/>
      <c r="AW59" s="1055"/>
      <c r="AX59" s="1055"/>
      <c r="AY59" s="1055"/>
      <c r="AZ59" s="1055"/>
      <c r="BA59" s="1055"/>
      <c r="BB59" s="1055"/>
      <c r="BC59" s="1055"/>
      <c r="BD59" s="1055"/>
      <c r="BE59" s="1055"/>
      <c r="BF59" s="1055"/>
      <c r="BG59" s="1055"/>
      <c r="BH59" s="1055"/>
      <c r="BI59" s="1055"/>
      <c r="BJ59" s="1055"/>
      <c r="BK59" s="1055"/>
      <c r="BL59" s="1055"/>
      <c r="BM59" s="1055"/>
      <c r="BN59" s="1055"/>
      <c r="BO59" s="1055"/>
      <c r="BP59" s="1055"/>
      <c r="BQ59" s="1055"/>
      <c r="BR59" s="1055"/>
      <c r="BS59" s="1055"/>
      <c r="BT59" s="1055"/>
      <c r="BU59" s="1055"/>
      <c r="BV59" s="1056"/>
      <c r="BW59" s="1047">
        <f>'CH Equipe'!AT117</f>
        <v>1</v>
      </c>
      <c r="BX59" s="1044"/>
      <c r="BY59" s="1044"/>
      <c r="BZ59" s="1044"/>
      <c r="CA59" s="1044"/>
      <c r="CB59" s="1044"/>
      <c r="CC59" s="1044"/>
      <c r="CD59" s="1044"/>
      <c r="CE59" s="1044"/>
      <c r="CF59" s="70"/>
      <c r="CG59" s="70"/>
      <c r="CH59" s="961"/>
      <c r="CI59" s="961"/>
      <c r="CJ59" s="961"/>
      <c r="CK59" s="961"/>
      <c r="CL59" s="961"/>
      <c r="CM59" s="961"/>
      <c r="CN59" s="961"/>
      <c r="CO59" s="961"/>
      <c r="CP59" s="961"/>
      <c r="CQ59" s="961"/>
      <c r="CR59" s="961"/>
      <c r="CS59" s="961"/>
      <c r="CT59" s="70"/>
      <c r="CU59" s="1057">
        <f>SUM('[1]CH Equipe'!AU93:BC93)</f>
        <v>0</v>
      </c>
      <c r="CV59" s="1058"/>
      <c r="CW59" s="1058"/>
      <c r="CX59" s="1058"/>
      <c r="CY59" s="1058"/>
      <c r="CZ59" s="1058"/>
      <c r="DA59" s="1058"/>
      <c r="DB59" s="1058"/>
      <c r="DC59" s="1058"/>
      <c r="DD59" s="1058"/>
      <c r="DE59" s="1058"/>
      <c r="DF59" s="1059"/>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70"/>
      <c r="FK59" s="70"/>
      <c r="FL59" s="70"/>
      <c r="FM59" s="70"/>
      <c r="FN59" s="70"/>
      <c r="FO59" s="70"/>
      <c r="FP59" s="70"/>
      <c r="FQ59" s="70"/>
      <c r="FR59" s="70"/>
      <c r="FS59" s="70"/>
      <c r="FT59" s="69"/>
      <c r="FU59" s="69"/>
      <c r="FV59" s="69"/>
      <c r="FW59" s="69"/>
      <c r="FX59" s="69"/>
      <c r="FY59" s="69"/>
      <c r="FZ59" s="69"/>
      <c r="GA59" s="69"/>
      <c r="GB59" s="69"/>
      <c r="GC59" s="69"/>
      <c r="GD59" s="69"/>
      <c r="GE59" s="69"/>
      <c r="GF59" s="69"/>
      <c r="GG59" s="69"/>
      <c r="GH59" s="69"/>
      <c r="GI59" s="69"/>
      <c r="GJ59" s="69"/>
      <c r="GK59" s="69"/>
      <c r="GL59" s="69"/>
      <c r="GM59" s="69"/>
      <c r="GN59" s="69"/>
      <c r="GO59" s="69"/>
      <c r="GP59" s="69"/>
      <c r="GQ59" s="69"/>
      <c r="GR59" s="69"/>
      <c r="GS59" s="69"/>
      <c r="GT59" s="69"/>
      <c r="GU59" s="69"/>
      <c r="GV59" s="69"/>
      <c r="GW59" s="69"/>
      <c r="GX59" s="69"/>
      <c r="GY59" s="69"/>
      <c r="GZ59" s="69"/>
    </row>
    <row r="60" spans="5:209" s="68" customFormat="1" ht="5.0999999999999996" customHeight="1" x14ac:dyDescent="0.2">
      <c r="E60" s="1063"/>
      <c r="F60" s="1063"/>
      <c r="G60" s="1063"/>
      <c r="H60" s="1063"/>
      <c r="I60" s="1063"/>
      <c r="J60" s="1063"/>
      <c r="K60" s="1063"/>
      <c r="L60" s="1063"/>
      <c r="M60" s="1063"/>
      <c r="N60" s="1063"/>
      <c r="O60" s="1063"/>
      <c r="P60" s="1063"/>
      <c r="Q60" s="81"/>
      <c r="R60" s="225"/>
      <c r="S60" s="1060"/>
      <c r="T60" s="1060"/>
      <c r="U60" s="1060"/>
      <c r="V60" s="1060"/>
      <c r="W60" s="1060"/>
      <c r="X60" s="1060"/>
      <c r="Y60" s="1060"/>
      <c r="Z60" s="1060"/>
      <c r="AA60" s="1060"/>
      <c r="AB60" s="1060"/>
      <c r="AC60" s="1060"/>
      <c r="AD60" s="1060"/>
      <c r="AE60" s="1060"/>
      <c r="AF60" s="1060"/>
      <c r="AG60" s="1060"/>
      <c r="AH60" s="1060"/>
      <c r="AI60" s="1060"/>
      <c r="AJ60" s="1060"/>
      <c r="AK60" s="1060"/>
      <c r="AL60" s="1060"/>
      <c r="AM60" s="1060"/>
      <c r="AN60" s="1060"/>
      <c r="AO60" s="1060"/>
      <c r="AP60" s="1060"/>
      <c r="AQ60" s="1060"/>
      <c r="AR60" s="1060"/>
      <c r="AS60" s="1060"/>
      <c r="AT60" s="1060"/>
      <c r="AU60" s="1060"/>
      <c r="AV60" s="1060"/>
      <c r="AW60" s="1060"/>
      <c r="AX60" s="1060"/>
      <c r="AY60" s="1060"/>
      <c r="AZ60" s="1060"/>
      <c r="BA60" s="1060"/>
      <c r="BB60" s="1060"/>
      <c r="BC60" s="70"/>
      <c r="BD60" s="961"/>
      <c r="BE60" s="961"/>
      <c r="BF60" s="961"/>
      <c r="BG60" s="961"/>
      <c r="BH60" s="961"/>
      <c r="BI60" s="961"/>
      <c r="BJ60" s="961"/>
      <c r="BK60" s="961"/>
      <c r="BL60" s="961"/>
      <c r="BM60" s="70"/>
      <c r="BN60" s="70"/>
      <c r="BO60" s="70"/>
      <c r="BP60" s="70"/>
      <c r="BQ60" s="70"/>
      <c r="BR60" s="70"/>
      <c r="BS60" s="70"/>
      <c r="BT60" s="70"/>
      <c r="BU60" s="70"/>
      <c r="BV60" s="70"/>
      <c r="BW60" s="70"/>
      <c r="BX60" s="70"/>
      <c r="BY60" s="70"/>
      <c r="BZ60" s="70"/>
      <c r="CA60" s="70"/>
      <c r="CB60" s="70"/>
      <c r="CC60" s="70"/>
      <c r="CD60" s="70"/>
      <c r="CE60" s="70"/>
      <c r="CF60" s="70"/>
      <c r="CG60" s="70"/>
      <c r="CH60" s="961"/>
      <c r="CI60" s="961"/>
      <c r="CJ60" s="961"/>
      <c r="CK60" s="961"/>
      <c r="CL60" s="961"/>
      <c r="CM60" s="961"/>
      <c r="CN60" s="961"/>
      <c r="CO60" s="961"/>
      <c r="CP60" s="961"/>
      <c r="CQ60" s="961"/>
      <c r="CR60" s="961"/>
      <c r="CS60" s="961"/>
      <c r="CT60" s="70"/>
      <c r="CU60" s="1062"/>
      <c r="CV60" s="1062"/>
      <c r="CW60" s="1062"/>
      <c r="CX60" s="1062"/>
      <c r="CY60" s="1062"/>
      <c r="CZ60" s="1062"/>
      <c r="DA60" s="1062"/>
      <c r="DB60" s="1062"/>
      <c r="DC60" s="1062"/>
      <c r="DD60" s="1062"/>
      <c r="DE60" s="1062"/>
      <c r="DF60" s="1062"/>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70"/>
      <c r="FK60" s="70"/>
      <c r="FL60" s="70"/>
      <c r="FM60" s="70"/>
      <c r="FN60" s="70"/>
      <c r="FO60" s="70"/>
      <c r="FP60" s="70"/>
      <c r="FQ60" s="70"/>
      <c r="FR60" s="70"/>
      <c r="FS60" s="70"/>
      <c r="FT60" s="69"/>
      <c r="FU60" s="69"/>
      <c r="FV60" s="69"/>
      <c r="FW60" s="69"/>
      <c r="FX60" s="69"/>
      <c r="FY60" s="69"/>
      <c r="FZ60" s="69"/>
      <c r="GA60" s="69"/>
      <c r="GB60" s="69"/>
      <c r="GC60" s="69"/>
      <c r="GD60" s="69"/>
      <c r="GE60" s="69"/>
      <c r="GF60" s="69"/>
      <c r="GG60" s="69"/>
      <c r="GH60" s="69"/>
      <c r="GI60" s="69"/>
      <c r="GJ60" s="69"/>
      <c r="GK60" s="69"/>
      <c r="GL60" s="69"/>
      <c r="GM60" s="69"/>
      <c r="GN60" s="69"/>
      <c r="GO60" s="69"/>
      <c r="GP60" s="69"/>
      <c r="GQ60" s="69"/>
      <c r="GR60" s="69"/>
      <c r="GS60" s="69"/>
      <c r="GT60" s="69"/>
      <c r="GU60" s="69"/>
      <c r="GV60" s="69"/>
      <c r="GW60" s="69"/>
      <c r="GX60" s="69"/>
      <c r="GY60" s="69"/>
      <c r="GZ60" s="69"/>
    </row>
    <row r="61" spans="5:209" s="68" customFormat="1" ht="20.100000000000001" customHeight="1" x14ac:dyDescent="0.2">
      <c r="E61" s="1063"/>
      <c r="F61" s="1063"/>
      <c r="G61" s="1063"/>
      <c r="H61" s="1063"/>
      <c r="I61" s="1063"/>
      <c r="J61" s="1063"/>
      <c r="K61" s="1063"/>
      <c r="L61" s="1063"/>
      <c r="M61" s="1063"/>
      <c r="N61" s="1063"/>
      <c r="O61" s="1063"/>
      <c r="P61" s="1063"/>
      <c r="Q61" s="81"/>
      <c r="R61" s="225"/>
      <c r="S61" s="1055" t="s">
        <v>668</v>
      </c>
      <c r="T61" s="1055"/>
      <c r="U61" s="1055"/>
      <c r="V61" s="1055"/>
      <c r="W61" s="1055"/>
      <c r="X61" s="1055"/>
      <c r="Y61" s="1055"/>
      <c r="Z61" s="1055"/>
      <c r="AA61" s="1055"/>
      <c r="AB61" s="1055"/>
      <c r="AC61" s="1055"/>
      <c r="AD61" s="1055"/>
      <c r="AE61" s="1055"/>
      <c r="AF61" s="1055"/>
      <c r="AG61" s="1055"/>
      <c r="AH61" s="1055"/>
      <c r="AI61" s="1055"/>
      <c r="AJ61" s="1055"/>
      <c r="AK61" s="1055"/>
      <c r="AL61" s="1055"/>
      <c r="AM61" s="1055"/>
      <c r="AN61" s="1055"/>
      <c r="AO61" s="1055"/>
      <c r="AP61" s="1055"/>
      <c r="AQ61" s="1055"/>
      <c r="AR61" s="1055"/>
      <c r="AS61" s="1055"/>
      <c r="AT61" s="1055"/>
      <c r="AU61" s="1055"/>
      <c r="AV61" s="1055"/>
      <c r="AW61" s="1055"/>
      <c r="AX61" s="1055"/>
      <c r="AY61" s="1055"/>
      <c r="AZ61" s="1055"/>
      <c r="BA61" s="1055"/>
      <c r="BB61" s="1055"/>
      <c r="BC61" s="1055"/>
      <c r="BD61" s="1055"/>
      <c r="BE61" s="1055"/>
      <c r="BF61" s="1055"/>
      <c r="BG61" s="1055"/>
      <c r="BH61" s="1055"/>
      <c r="BI61" s="1055"/>
      <c r="BJ61" s="1055"/>
      <c r="BK61" s="1055"/>
      <c r="BL61" s="1055"/>
      <c r="BM61" s="1055"/>
      <c r="BN61" s="1055"/>
      <c r="BO61" s="1055"/>
      <c r="BP61" s="1055"/>
      <c r="BQ61" s="1055"/>
      <c r="BR61" s="1055"/>
      <c r="BS61" s="1055"/>
      <c r="BT61" s="1055"/>
      <c r="BU61" s="1055"/>
      <c r="BV61" s="1056"/>
      <c r="BW61" s="1047">
        <f>'CH Equipe'!BD117</f>
        <v>8</v>
      </c>
      <c r="BX61" s="1044"/>
      <c r="BY61" s="1044"/>
      <c r="BZ61" s="1044"/>
      <c r="CA61" s="1044"/>
      <c r="CB61" s="1044"/>
      <c r="CC61" s="1044"/>
      <c r="CD61" s="1044"/>
      <c r="CE61" s="1044"/>
      <c r="CF61" s="70"/>
      <c r="CG61" s="70"/>
      <c r="CH61" s="961"/>
      <c r="CI61" s="961"/>
      <c r="CJ61" s="961"/>
      <c r="CK61" s="961"/>
      <c r="CL61" s="961"/>
      <c r="CM61" s="961"/>
      <c r="CN61" s="961"/>
      <c r="CO61" s="961"/>
      <c r="CP61" s="961"/>
      <c r="CQ61" s="961"/>
      <c r="CR61" s="961"/>
      <c r="CS61" s="961"/>
      <c r="CT61" s="70"/>
      <c r="CU61" s="1057">
        <f>SUM('[1]CH Equipe'!BE93:BM93)</f>
        <v>0</v>
      </c>
      <c r="CV61" s="1058"/>
      <c r="CW61" s="1058"/>
      <c r="CX61" s="1058"/>
      <c r="CY61" s="1058"/>
      <c r="CZ61" s="1058"/>
      <c r="DA61" s="1058"/>
      <c r="DB61" s="1058"/>
      <c r="DC61" s="1058"/>
      <c r="DD61" s="1058"/>
      <c r="DE61" s="1058"/>
      <c r="DF61" s="1059"/>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70"/>
      <c r="FK61" s="70"/>
      <c r="FL61" s="70"/>
      <c r="FM61" s="70"/>
      <c r="FN61" s="70"/>
      <c r="FO61" s="70"/>
      <c r="FP61" s="70"/>
      <c r="FQ61" s="70"/>
      <c r="FR61" s="70"/>
      <c r="FS61" s="70"/>
      <c r="FT61" s="69"/>
      <c r="FU61" s="69"/>
      <c r="FV61" s="69"/>
      <c r="FW61" s="69"/>
      <c r="FX61" s="69"/>
      <c r="FY61" s="69"/>
      <c r="FZ61" s="69"/>
      <c r="GA61" s="69"/>
      <c r="GB61" s="69"/>
      <c r="GC61" s="69"/>
      <c r="GD61" s="69"/>
      <c r="GE61" s="69"/>
      <c r="GF61" s="69"/>
      <c r="GG61" s="69"/>
      <c r="GH61" s="69"/>
      <c r="GI61" s="69"/>
      <c r="GJ61" s="69"/>
      <c r="GK61" s="69"/>
      <c r="GL61" s="69"/>
      <c r="GM61" s="69"/>
      <c r="GN61" s="69"/>
      <c r="GO61" s="69"/>
      <c r="GP61" s="69"/>
      <c r="GQ61" s="69"/>
      <c r="GR61" s="69"/>
      <c r="GS61" s="69"/>
      <c r="GT61" s="69"/>
      <c r="GU61" s="69"/>
      <c r="GV61" s="69"/>
      <c r="GW61" s="69"/>
      <c r="GX61" s="69"/>
      <c r="GY61" s="69"/>
      <c r="GZ61" s="69"/>
    </row>
    <row r="62" spans="5:209" s="68" customFormat="1" ht="13.5" customHeight="1" thickBot="1" x14ac:dyDescent="0.25">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70"/>
      <c r="CU62" s="47"/>
      <c r="CV62" s="47"/>
      <c r="CW62" s="47"/>
      <c r="CX62" s="47"/>
      <c r="CY62" s="47"/>
      <c r="CZ62" s="47"/>
      <c r="DA62" s="47"/>
      <c r="DB62" s="47"/>
      <c r="DC62" s="47"/>
      <c r="DD62" s="47"/>
      <c r="DE62" s="47"/>
      <c r="DF62" s="47"/>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row>
    <row r="63" spans="5:209" s="68" customFormat="1" ht="13.5" customHeight="1" thickTop="1" x14ac:dyDescent="0.2">
      <c r="E63" s="226"/>
      <c r="F63" s="226"/>
      <c r="G63" s="226"/>
      <c r="H63" s="226"/>
      <c r="I63" s="226"/>
      <c r="J63" s="226"/>
      <c r="K63" s="226"/>
      <c r="L63" s="226"/>
      <c r="M63" s="226"/>
      <c r="N63" s="226"/>
      <c r="O63" s="226"/>
      <c r="P63" s="226"/>
      <c r="Q63" s="226"/>
      <c r="R63" s="226"/>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227"/>
      <c r="BZ63" s="227"/>
      <c r="CA63" s="227"/>
      <c r="CB63" s="227"/>
      <c r="CC63" s="227"/>
      <c r="CD63" s="227"/>
      <c r="CE63" s="227"/>
      <c r="CF63" s="47"/>
      <c r="CG63" s="47"/>
      <c r="CH63" s="47"/>
      <c r="CI63" s="47"/>
      <c r="CJ63" s="47"/>
      <c r="CK63" s="47"/>
      <c r="CL63" s="47"/>
      <c r="CM63" s="47"/>
      <c r="CN63" s="47"/>
      <c r="CO63" s="47"/>
      <c r="CP63" s="47"/>
      <c r="CQ63" s="47"/>
      <c r="CR63" s="47"/>
      <c r="CS63" s="47"/>
      <c r="CT63" s="70"/>
      <c r="CU63" s="47"/>
      <c r="CV63" s="47"/>
      <c r="CW63" s="47"/>
      <c r="CX63" s="47"/>
      <c r="CY63" s="47"/>
      <c r="CZ63" s="47"/>
      <c r="DA63" s="47"/>
      <c r="DB63" s="47"/>
      <c r="DC63" s="47"/>
      <c r="DD63" s="47"/>
      <c r="DE63" s="47"/>
      <c r="DF63" s="47"/>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row>
    <row r="64" spans="5:209" s="68" customFormat="1" ht="41.25" customHeight="1" x14ac:dyDescent="0.2">
      <c r="E64" s="1054" t="s">
        <v>659</v>
      </c>
      <c r="F64" s="1054"/>
      <c r="G64" s="1054"/>
      <c r="H64" s="1054"/>
      <c r="I64" s="1054"/>
      <c r="J64" s="1054"/>
      <c r="K64" s="1054"/>
      <c r="L64" s="1054"/>
      <c r="M64" s="1054"/>
      <c r="N64" s="1054"/>
      <c r="O64" s="1054"/>
      <c r="P64" s="1054"/>
      <c r="S64" s="1063" t="s">
        <v>660</v>
      </c>
      <c r="T64" s="1063"/>
      <c r="U64" s="1063"/>
      <c r="V64" s="1063"/>
      <c r="W64" s="1063"/>
      <c r="X64" s="1063"/>
      <c r="Y64" s="1063"/>
      <c r="Z64" s="1063"/>
      <c r="AA64" s="1063"/>
      <c r="AB64" s="1063"/>
      <c r="AC64" s="1063"/>
      <c r="AD64" s="1063"/>
      <c r="AE64" s="1063"/>
      <c r="AF64" s="1063"/>
      <c r="AG64" s="1063"/>
      <c r="AH64" s="1063"/>
      <c r="AI64" s="1063"/>
      <c r="AJ64" s="1063"/>
      <c r="AK64" s="1063"/>
      <c r="AL64" s="1063"/>
      <c r="AM64" s="1063"/>
      <c r="AN64" s="1063"/>
      <c r="AO64" s="1063"/>
      <c r="AP64" s="1063"/>
      <c r="AQ64" s="1063"/>
      <c r="AR64" s="1063"/>
      <c r="AS64" s="1063"/>
      <c r="AT64" s="1063"/>
      <c r="AU64" s="1063"/>
      <c r="AV64" s="1063"/>
      <c r="AW64" s="1063"/>
      <c r="AX64" s="1063"/>
      <c r="AY64" s="1063"/>
      <c r="AZ64" s="1063"/>
      <c r="BA64" s="1063"/>
      <c r="BB64" s="1063"/>
      <c r="BC64" s="70"/>
      <c r="BD64" s="1063" t="s">
        <v>670</v>
      </c>
      <c r="BE64" s="1063"/>
      <c r="BF64" s="1063"/>
      <c r="BG64" s="1063"/>
      <c r="BH64" s="1063"/>
      <c r="BI64" s="1063"/>
      <c r="BJ64" s="1063"/>
      <c r="BK64" s="1063"/>
      <c r="BL64" s="1063"/>
      <c r="BM64" s="70"/>
      <c r="BN64" s="1063" t="s">
        <v>661</v>
      </c>
      <c r="BO64" s="1063"/>
      <c r="BP64" s="1063"/>
      <c r="BQ64" s="1063"/>
      <c r="BR64" s="1063"/>
      <c r="BS64" s="1063"/>
      <c r="BT64" s="1063"/>
      <c r="BU64" s="1063"/>
      <c r="BV64" s="1063"/>
      <c r="BW64" s="1063" t="s">
        <v>662</v>
      </c>
      <c r="BX64" s="1063"/>
      <c r="BY64" s="1063"/>
      <c r="BZ64" s="1063"/>
      <c r="CA64" s="1063"/>
      <c r="CB64" s="1063"/>
      <c r="CC64" s="1063"/>
      <c r="CD64" s="1063"/>
      <c r="CE64" s="1063"/>
      <c r="CF64" s="76"/>
      <c r="CG64" s="70"/>
      <c r="CH64" s="1052" t="s">
        <v>671</v>
      </c>
      <c r="CI64" s="1052"/>
      <c r="CJ64" s="1052"/>
      <c r="CK64" s="1052"/>
      <c r="CL64" s="1052"/>
      <c r="CM64" s="1052"/>
      <c r="CN64" s="1052"/>
      <c r="CO64" s="1052"/>
      <c r="CP64" s="1052"/>
      <c r="CQ64" s="1052"/>
      <c r="CR64" s="1052"/>
      <c r="CS64" s="1053"/>
      <c r="CT64" s="70"/>
      <c r="CU64" s="1052" t="s">
        <v>672</v>
      </c>
      <c r="CV64" s="1052"/>
      <c r="CW64" s="1052"/>
      <c r="CX64" s="1052"/>
      <c r="CY64" s="1052"/>
      <c r="CZ64" s="1052"/>
      <c r="DA64" s="1052"/>
      <c r="DB64" s="1052"/>
      <c r="DC64" s="1052"/>
      <c r="DD64" s="1052"/>
      <c r="DE64" s="1052"/>
      <c r="DF64" s="1053"/>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941"/>
      <c r="FK64" s="941"/>
      <c r="FL64" s="941"/>
      <c r="FM64" s="941"/>
      <c r="FN64" s="941"/>
      <c r="FO64" s="941"/>
      <c r="FP64" s="941"/>
      <c r="FQ64" s="941"/>
      <c r="FR64" s="941"/>
      <c r="FS64" s="941"/>
      <c r="FT64" s="75"/>
      <c r="FU64" s="75"/>
      <c r="FV64" s="75"/>
      <c r="FW64" s="75"/>
      <c r="FX64" s="75"/>
      <c r="FY64" s="75"/>
      <c r="FZ64" s="75"/>
      <c r="GA64" s="75"/>
      <c r="GB64" s="75"/>
      <c r="GC64" s="75"/>
      <c r="GD64" s="941"/>
      <c r="GE64" s="941"/>
      <c r="GF64" s="76"/>
      <c r="GG64" s="76"/>
      <c r="GH64" s="76"/>
      <c r="GI64" s="76"/>
      <c r="GJ64" s="76"/>
      <c r="GK64" s="76"/>
      <c r="GL64" s="76"/>
      <c r="GM64" s="76"/>
      <c r="GN64" s="76"/>
      <c r="GO64" s="941"/>
      <c r="GP64" s="941"/>
      <c r="GQ64" s="76"/>
      <c r="GR64" s="76"/>
      <c r="GS64" s="76"/>
      <c r="GT64" s="76"/>
      <c r="GU64" s="76"/>
      <c r="GV64" s="76"/>
      <c r="GW64" s="76"/>
      <c r="GX64" s="76"/>
      <c r="GY64" s="941"/>
      <c r="GZ64" s="941"/>
      <c r="HA64" s="66"/>
    </row>
    <row r="65" spans="5:208" s="68" customFormat="1" ht="13.5" customHeight="1" x14ac:dyDescent="0.2">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70"/>
      <c r="CU65" s="47"/>
      <c r="CV65" s="47"/>
      <c r="CW65" s="47"/>
      <c r="CX65" s="47"/>
      <c r="CY65" s="47"/>
      <c r="CZ65" s="47"/>
      <c r="DA65" s="47"/>
      <c r="DB65" s="47"/>
      <c r="DC65" s="47"/>
      <c r="DD65" s="47"/>
      <c r="DE65" s="47"/>
      <c r="DF65" s="47"/>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row>
    <row r="66" spans="5:208" s="68" customFormat="1" ht="20.100000000000001" customHeight="1" x14ac:dyDescent="0.2">
      <c r="E66" s="1063" t="s">
        <v>475</v>
      </c>
      <c r="F66" s="1063"/>
      <c r="G66" s="1063"/>
      <c r="H66" s="1063"/>
      <c r="I66" s="1063"/>
      <c r="J66" s="1063"/>
      <c r="K66" s="1063"/>
      <c r="L66" s="1063"/>
      <c r="M66" s="1063"/>
      <c r="N66" s="1063"/>
      <c r="O66" s="1063"/>
      <c r="P66" s="1063"/>
      <c r="Q66" s="78"/>
      <c r="R66" s="225"/>
      <c r="S66" s="1070" t="s">
        <v>663</v>
      </c>
      <c r="T66" s="1070"/>
      <c r="U66" s="1070"/>
      <c r="V66" s="1070"/>
      <c r="W66" s="1055" t="s">
        <v>6</v>
      </c>
      <c r="X66" s="1055"/>
      <c r="Y66" s="1055"/>
      <c r="Z66" s="1055"/>
      <c r="AA66" s="1055"/>
      <c r="AB66" s="1055"/>
      <c r="AC66" s="1055"/>
      <c r="AD66" s="1055"/>
      <c r="AE66" s="1055"/>
      <c r="AF66" s="1055"/>
      <c r="AG66" s="1055"/>
      <c r="AH66" s="1055"/>
      <c r="AI66" s="1055"/>
      <c r="AJ66" s="1055"/>
      <c r="AK66" s="1055"/>
      <c r="AL66" s="1055" t="s">
        <v>664</v>
      </c>
      <c r="AM66" s="1055"/>
      <c r="AN66" s="1055"/>
      <c r="AO66" s="1055"/>
      <c r="AP66" s="1055"/>
      <c r="AQ66" s="1055"/>
      <c r="AR66" s="1055"/>
      <c r="AS66" s="1055"/>
      <c r="AT66" s="1055"/>
      <c r="AU66" s="1055"/>
      <c r="AV66" s="1055"/>
      <c r="AW66" s="1055"/>
      <c r="AX66" s="1055"/>
      <c r="AY66" s="1055"/>
      <c r="AZ66" s="1055"/>
      <c r="BA66" s="1055"/>
      <c r="BB66" s="1055"/>
      <c r="BC66" s="70"/>
      <c r="BD66" s="1044">
        <f>'CH Equipe'!CC99</f>
        <v>15</v>
      </c>
      <c r="BE66" s="1044"/>
      <c r="BF66" s="1044"/>
      <c r="BG66" s="1044"/>
      <c r="BH66" s="1044"/>
      <c r="BI66" s="1044"/>
      <c r="BJ66" s="1044"/>
      <c r="BK66" s="1044"/>
      <c r="BL66" s="1044"/>
      <c r="BM66" s="70"/>
      <c r="BN66" s="1044">
        <f>'CH Equipe'!CC14</f>
        <v>180</v>
      </c>
      <c r="BO66" s="1044"/>
      <c r="BP66" s="1044"/>
      <c r="BQ66" s="1044"/>
      <c r="BR66" s="1044"/>
      <c r="BS66" s="1044"/>
      <c r="BT66" s="1044"/>
      <c r="BU66" s="1044"/>
      <c r="BV66" s="1044"/>
      <c r="BW66" s="1051">
        <f>BN66/11/4</f>
        <v>4.0909090909090908</v>
      </c>
      <c r="BX66" s="1051"/>
      <c r="BY66" s="1051"/>
      <c r="BZ66" s="1051"/>
      <c r="CA66" s="1051"/>
      <c r="CB66" s="1051"/>
      <c r="CC66" s="1051"/>
      <c r="CD66" s="1051"/>
      <c r="CE66" s="1051"/>
      <c r="CF66" s="70">
        <f>ROUND(BW66,0)</f>
        <v>4</v>
      </c>
      <c r="CG66" s="70"/>
      <c r="CH66" s="923" t="e">
        <f>CF66*#REF!</f>
        <v>#REF!</v>
      </c>
      <c r="CI66" s="913"/>
      <c r="CJ66" s="913"/>
      <c r="CK66" s="913"/>
      <c r="CL66" s="913"/>
      <c r="CM66" s="913"/>
      <c r="CN66" s="913"/>
      <c r="CO66" s="913"/>
      <c r="CP66" s="913"/>
      <c r="CQ66" s="913"/>
      <c r="CR66" s="913"/>
      <c r="CS66" s="914"/>
      <c r="CT66" s="70"/>
      <c r="CU66" s="1041" t="e">
        <f>CH66/60</f>
        <v>#REF!</v>
      </c>
      <c r="CV66" s="1042"/>
      <c r="CW66" s="1042"/>
      <c r="CX66" s="1042"/>
      <c r="CY66" s="1042"/>
      <c r="CZ66" s="1042"/>
      <c r="DA66" s="1042"/>
      <c r="DB66" s="1042"/>
      <c r="DC66" s="1042"/>
      <c r="DD66" s="1042"/>
      <c r="DE66" s="1042"/>
      <c r="DF66" s="1043"/>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70"/>
      <c r="FK66" s="70"/>
      <c r="FL66" s="70"/>
      <c r="FM66" s="70"/>
      <c r="FN66" s="70"/>
      <c r="FO66" s="70"/>
      <c r="FP66" s="70"/>
      <c r="FQ66" s="70"/>
      <c r="FR66" s="70"/>
      <c r="FS66" s="70"/>
      <c r="FT66" s="69"/>
      <c r="FU66" s="69"/>
      <c r="FV66" s="69"/>
      <c r="FW66" s="69"/>
      <c r="FX66" s="69"/>
      <c r="FY66" s="69"/>
      <c r="FZ66" s="69"/>
      <c r="GA66" s="69"/>
      <c r="GB66" s="69"/>
      <c r="GC66" s="69"/>
      <c r="GD66" s="69"/>
      <c r="GE66" s="69"/>
      <c r="GF66" s="69"/>
      <c r="GG66" s="69"/>
      <c r="GH66" s="69"/>
      <c r="GI66" s="69"/>
      <c r="GJ66" s="69"/>
      <c r="GK66" s="69"/>
      <c r="GL66" s="69"/>
      <c r="GM66" s="69"/>
      <c r="GN66" s="69"/>
      <c r="GO66" s="69"/>
      <c r="GP66" s="69"/>
      <c r="GQ66" s="69"/>
      <c r="GR66" s="69"/>
      <c r="GS66" s="69"/>
      <c r="GT66" s="69"/>
      <c r="GU66" s="69"/>
      <c r="GV66" s="69"/>
      <c r="GW66" s="69"/>
      <c r="GX66" s="69"/>
      <c r="GY66" s="69"/>
      <c r="GZ66" s="69"/>
    </row>
    <row r="67" spans="5:208" s="68" customFormat="1" ht="20.100000000000001" customHeight="1" x14ac:dyDescent="0.2">
      <c r="E67" s="1063"/>
      <c r="F67" s="1063"/>
      <c r="G67" s="1063"/>
      <c r="H67" s="1063"/>
      <c r="I67" s="1063"/>
      <c r="J67" s="1063"/>
      <c r="K67" s="1063"/>
      <c r="L67" s="1063"/>
      <c r="M67" s="1063"/>
      <c r="N67" s="1063"/>
      <c r="O67" s="1063"/>
      <c r="P67" s="1063"/>
      <c r="Q67" s="81"/>
      <c r="R67" s="225"/>
      <c r="S67" s="1070"/>
      <c r="T67" s="1070"/>
      <c r="U67" s="1070"/>
      <c r="V67" s="1070"/>
      <c r="W67" s="1055" t="s">
        <v>12</v>
      </c>
      <c r="X67" s="1055"/>
      <c r="Y67" s="1055"/>
      <c r="Z67" s="1055"/>
      <c r="AA67" s="1055"/>
      <c r="AB67" s="1055"/>
      <c r="AC67" s="1055"/>
      <c r="AD67" s="1055"/>
      <c r="AE67" s="1055"/>
      <c r="AF67" s="1055"/>
      <c r="AG67" s="1055"/>
      <c r="AH67" s="1055"/>
      <c r="AI67" s="1055"/>
      <c r="AJ67" s="1055"/>
      <c r="AK67" s="1055"/>
      <c r="AL67" s="1055" t="s">
        <v>664</v>
      </c>
      <c r="AM67" s="1055"/>
      <c r="AN67" s="1055"/>
      <c r="AO67" s="1055"/>
      <c r="AP67" s="1055"/>
      <c r="AQ67" s="1055"/>
      <c r="AR67" s="1055"/>
      <c r="AS67" s="1055"/>
      <c r="AT67" s="1055"/>
      <c r="AU67" s="1055"/>
      <c r="AV67" s="1055"/>
      <c r="AW67" s="1055"/>
      <c r="AX67" s="1055"/>
      <c r="AY67" s="1055"/>
      <c r="AZ67" s="1055"/>
      <c r="BA67" s="1055"/>
      <c r="BB67" s="1055"/>
      <c r="BC67" s="70"/>
      <c r="BD67" s="1044">
        <f>BD66</f>
        <v>15</v>
      </c>
      <c r="BE67" s="1044"/>
      <c r="BF67" s="1044"/>
      <c r="BG67" s="1044"/>
      <c r="BH67" s="1044"/>
      <c r="BI67" s="1044"/>
      <c r="BJ67" s="1044"/>
      <c r="BK67" s="1044"/>
      <c r="BL67" s="1044"/>
      <c r="BM67" s="70"/>
      <c r="BN67" s="1044">
        <f>'CH Equipe'!CC19</f>
        <v>0</v>
      </c>
      <c r="BO67" s="1044"/>
      <c r="BP67" s="1044"/>
      <c r="BQ67" s="1044"/>
      <c r="BR67" s="1044"/>
      <c r="BS67" s="1044"/>
      <c r="BT67" s="1044"/>
      <c r="BU67" s="1044"/>
      <c r="BV67" s="1044"/>
      <c r="BW67" s="1051">
        <f>BN67/11/4</f>
        <v>0</v>
      </c>
      <c r="BX67" s="1051"/>
      <c r="BY67" s="1051"/>
      <c r="BZ67" s="1051"/>
      <c r="CA67" s="1051"/>
      <c r="CB67" s="1051"/>
      <c r="CC67" s="1051"/>
      <c r="CD67" s="1051"/>
      <c r="CE67" s="1051"/>
      <c r="CF67" s="70"/>
      <c r="CG67" s="70"/>
      <c r="CH67" s="211"/>
      <c r="CI67" s="212"/>
      <c r="CJ67" s="212"/>
      <c r="CK67" s="212"/>
      <c r="CL67" s="212"/>
      <c r="CM67" s="212"/>
      <c r="CN67" s="212"/>
      <c r="CO67" s="212"/>
      <c r="CP67" s="212"/>
      <c r="CQ67" s="212"/>
      <c r="CR67" s="212"/>
      <c r="CS67" s="213"/>
      <c r="CT67" s="70"/>
      <c r="CU67" s="228"/>
      <c r="CV67" s="229"/>
      <c r="CW67" s="229"/>
      <c r="CX67" s="229"/>
      <c r="CY67" s="229"/>
      <c r="CZ67" s="229"/>
      <c r="DA67" s="229"/>
      <c r="DB67" s="229"/>
      <c r="DC67" s="229"/>
      <c r="DD67" s="229"/>
      <c r="DE67" s="229"/>
      <c r="DF67" s="230"/>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70"/>
      <c r="FK67" s="70"/>
      <c r="FL67" s="70"/>
      <c r="FM67" s="70"/>
      <c r="FN67" s="70"/>
      <c r="FO67" s="70"/>
      <c r="FP67" s="70"/>
      <c r="FQ67" s="70"/>
      <c r="FR67" s="70"/>
      <c r="FS67" s="70"/>
      <c r="FT67" s="69"/>
      <c r="FU67" s="69"/>
      <c r="FV67" s="69"/>
      <c r="FW67" s="69"/>
      <c r="FX67" s="69"/>
      <c r="FY67" s="69"/>
      <c r="FZ67" s="69"/>
      <c r="GA67" s="69"/>
      <c r="GB67" s="69"/>
      <c r="GC67" s="69"/>
      <c r="GD67" s="69"/>
      <c r="GE67" s="69"/>
      <c r="GF67" s="69"/>
      <c r="GG67" s="69"/>
      <c r="GH67" s="69"/>
      <c r="GI67" s="69"/>
      <c r="GJ67" s="69"/>
      <c r="GK67" s="69"/>
      <c r="GL67" s="69"/>
      <c r="GM67" s="69"/>
      <c r="GN67" s="69"/>
      <c r="GO67" s="69"/>
      <c r="GP67" s="69"/>
      <c r="GQ67" s="69"/>
      <c r="GR67" s="69"/>
      <c r="GS67" s="69"/>
      <c r="GT67" s="69"/>
      <c r="GU67" s="69"/>
      <c r="GV67" s="69"/>
      <c r="GW67" s="69"/>
      <c r="GX67" s="69"/>
      <c r="GY67" s="69"/>
      <c r="GZ67" s="69"/>
    </row>
    <row r="68" spans="5:208" s="68" customFormat="1" ht="20.100000000000001" customHeight="1" x14ac:dyDescent="0.2">
      <c r="E68" s="1063"/>
      <c r="F68" s="1063"/>
      <c r="G68" s="1063"/>
      <c r="H68" s="1063"/>
      <c r="I68" s="1063"/>
      <c r="J68" s="1063"/>
      <c r="K68" s="1063"/>
      <c r="L68" s="1063"/>
      <c r="M68" s="1063"/>
      <c r="N68" s="1063"/>
      <c r="O68" s="1063"/>
      <c r="P68" s="1063"/>
      <c r="Q68" s="78"/>
      <c r="R68" s="225"/>
      <c r="S68" s="1070"/>
      <c r="T68" s="1070"/>
      <c r="U68" s="1070"/>
      <c r="V68" s="1070"/>
      <c r="W68" s="1055" t="s">
        <v>673</v>
      </c>
      <c r="X68" s="1055"/>
      <c r="Y68" s="1055"/>
      <c r="Z68" s="1055"/>
      <c r="AA68" s="1055"/>
      <c r="AB68" s="1055"/>
      <c r="AC68" s="1055"/>
      <c r="AD68" s="1055"/>
      <c r="AE68" s="1055"/>
      <c r="AF68" s="1055"/>
      <c r="AG68" s="1055"/>
      <c r="AH68" s="1055"/>
      <c r="AI68" s="1055"/>
      <c r="AJ68" s="1055"/>
      <c r="AK68" s="1055"/>
      <c r="AL68" s="1055" t="s">
        <v>664</v>
      </c>
      <c r="AM68" s="1055"/>
      <c r="AN68" s="1055"/>
      <c r="AO68" s="1055"/>
      <c r="AP68" s="1055"/>
      <c r="AQ68" s="1055"/>
      <c r="AR68" s="1055"/>
      <c r="AS68" s="1055"/>
      <c r="AT68" s="1055"/>
      <c r="AU68" s="1055"/>
      <c r="AV68" s="1055"/>
      <c r="AW68" s="1055"/>
      <c r="AX68" s="1055"/>
      <c r="AY68" s="1055"/>
      <c r="AZ68" s="1055"/>
      <c r="BA68" s="1055"/>
      <c r="BB68" s="1055"/>
      <c r="BC68" s="70"/>
      <c r="BD68" s="1044">
        <f>BD66</f>
        <v>15</v>
      </c>
      <c r="BE68" s="1044"/>
      <c r="BF68" s="1044"/>
      <c r="BG68" s="1044"/>
      <c r="BH68" s="1044"/>
      <c r="BI68" s="1044"/>
      <c r="BJ68" s="1044"/>
      <c r="BK68" s="1044"/>
      <c r="BL68" s="1044"/>
      <c r="BM68" s="70"/>
      <c r="BN68" s="1044">
        <f>'CH Equipe'!CC23</f>
        <v>207.52699999999999</v>
      </c>
      <c r="BO68" s="1044"/>
      <c r="BP68" s="1044"/>
      <c r="BQ68" s="1044"/>
      <c r="BR68" s="1044"/>
      <c r="BS68" s="1044"/>
      <c r="BT68" s="1044"/>
      <c r="BU68" s="1044"/>
      <c r="BV68" s="1044"/>
      <c r="BW68" s="1051">
        <f t="shared" ref="BW68:BW74" si="10">BN68/11/4</f>
        <v>4.7165227272727268</v>
      </c>
      <c r="BX68" s="1051"/>
      <c r="BY68" s="1051"/>
      <c r="BZ68" s="1051"/>
      <c r="CA68" s="1051"/>
      <c r="CB68" s="1051"/>
      <c r="CC68" s="1051"/>
      <c r="CD68" s="1051"/>
      <c r="CE68" s="1051"/>
      <c r="CF68" s="70">
        <f>ROUND(BW68,0)</f>
        <v>5</v>
      </c>
      <c r="CG68" s="70"/>
      <c r="CH68" s="963" t="e">
        <f>CF68*#REF!</f>
        <v>#REF!</v>
      </c>
      <c r="CI68" s="924"/>
      <c r="CJ68" s="924"/>
      <c r="CK68" s="924"/>
      <c r="CL68" s="924"/>
      <c r="CM68" s="924"/>
      <c r="CN68" s="924"/>
      <c r="CO68" s="924"/>
      <c r="CP68" s="924"/>
      <c r="CQ68" s="924"/>
      <c r="CR68" s="924"/>
      <c r="CS68" s="962"/>
      <c r="CT68" s="70"/>
      <c r="CU68" s="1067" t="e">
        <f>CH68/60</f>
        <v>#REF!</v>
      </c>
      <c r="CV68" s="1068"/>
      <c r="CW68" s="1068"/>
      <c r="CX68" s="1068"/>
      <c r="CY68" s="1068"/>
      <c r="CZ68" s="1068"/>
      <c r="DA68" s="1068"/>
      <c r="DB68" s="1068"/>
      <c r="DC68" s="1068"/>
      <c r="DD68" s="1068"/>
      <c r="DE68" s="1068"/>
      <c r="DF68" s="1069"/>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70"/>
      <c r="FK68" s="70"/>
      <c r="FL68" s="70"/>
      <c r="FM68" s="70"/>
      <c r="FN68" s="70"/>
      <c r="FO68" s="70"/>
      <c r="FP68" s="70"/>
      <c r="FQ68" s="70"/>
      <c r="FR68" s="70"/>
      <c r="FS68" s="70"/>
      <c r="FT68" s="69"/>
      <c r="FU68" s="69"/>
      <c r="FV68" s="69"/>
      <c r="FW68" s="69"/>
      <c r="FX68" s="69"/>
      <c r="FY68" s="69"/>
      <c r="FZ68" s="69"/>
      <c r="GA68" s="69"/>
      <c r="GB68" s="69"/>
      <c r="GC68" s="69"/>
      <c r="GD68" s="69"/>
      <c r="GE68" s="69"/>
      <c r="GF68" s="69"/>
      <c r="GG68" s="69"/>
      <c r="GH68" s="69"/>
      <c r="GI68" s="69"/>
      <c r="GJ68" s="69"/>
      <c r="GK68" s="69"/>
      <c r="GL68" s="69"/>
      <c r="GM68" s="69"/>
      <c r="GN68" s="69"/>
      <c r="GO68" s="69"/>
      <c r="GP68" s="69"/>
      <c r="GQ68" s="69"/>
      <c r="GR68" s="69"/>
      <c r="GS68" s="69"/>
      <c r="GT68" s="69"/>
      <c r="GU68" s="69"/>
      <c r="GV68" s="69"/>
      <c r="GW68" s="69"/>
      <c r="GX68" s="69"/>
      <c r="GY68" s="69"/>
      <c r="GZ68" s="69"/>
    </row>
    <row r="69" spans="5:208" s="68" customFormat="1" ht="20.100000000000001" customHeight="1" x14ac:dyDescent="0.2">
      <c r="E69" s="1063"/>
      <c r="F69" s="1063"/>
      <c r="G69" s="1063"/>
      <c r="H69" s="1063"/>
      <c r="I69" s="1063"/>
      <c r="J69" s="1063"/>
      <c r="K69" s="1063"/>
      <c r="L69" s="1063"/>
      <c r="M69" s="1063"/>
      <c r="N69" s="1063"/>
      <c r="O69" s="1063"/>
      <c r="P69" s="1063"/>
      <c r="Q69" s="78"/>
      <c r="R69" s="225"/>
      <c r="S69" s="1070"/>
      <c r="T69" s="1070"/>
      <c r="U69" s="1070"/>
      <c r="V69" s="1070"/>
      <c r="W69" s="1055" t="s">
        <v>674</v>
      </c>
      <c r="X69" s="1055"/>
      <c r="Y69" s="1055"/>
      <c r="Z69" s="1055"/>
      <c r="AA69" s="1055"/>
      <c r="AB69" s="1055"/>
      <c r="AC69" s="1055"/>
      <c r="AD69" s="1055"/>
      <c r="AE69" s="1055"/>
      <c r="AF69" s="1055"/>
      <c r="AG69" s="1055"/>
      <c r="AH69" s="1055"/>
      <c r="AI69" s="1055"/>
      <c r="AJ69" s="1055"/>
      <c r="AK69" s="1055"/>
      <c r="AL69" s="1055" t="s">
        <v>664</v>
      </c>
      <c r="AM69" s="1055"/>
      <c r="AN69" s="1055"/>
      <c r="AO69" s="1055"/>
      <c r="AP69" s="1055"/>
      <c r="AQ69" s="1055"/>
      <c r="AR69" s="1055"/>
      <c r="AS69" s="1055"/>
      <c r="AT69" s="1055"/>
      <c r="AU69" s="1055"/>
      <c r="AV69" s="1055"/>
      <c r="AW69" s="1055"/>
      <c r="AX69" s="1055"/>
      <c r="AY69" s="1055"/>
      <c r="AZ69" s="1055"/>
      <c r="BA69" s="1055"/>
      <c r="BB69" s="1055"/>
      <c r="BC69" s="70"/>
      <c r="BD69" s="1044">
        <f>BD66</f>
        <v>15</v>
      </c>
      <c r="BE69" s="1044"/>
      <c r="BF69" s="1044"/>
      <c r="BG69" s="1044"/>
      <c r="BH69" s="1044"/>
      <c r="BI69" s="1044"/>
      <c r="BJ69" s="1044"/>
      <c r="BK69" s="1044"/>
      <c r="BL69" s="1044"/>
      <c r="BM69" s="70"/>
      <c r="BN69" s="1044">
        <f>'CH Equipe'!CC28</f>
        <v>283.7</v>
      </c>
      <c r="BO69" s="1044"/>
      <c r="BP69" s="1044"/>
      <c r="BQ69" s="1044"/>
      <c r="BR69" s="1044"/>
      <c r="BS69" s="1044"/>
      <c r="BT69" s="1044"/>
      <c r="BU69" s="1044"/>
      <c r="BV69" s="1044"/>
      <c r="BW69" s="1051">
        <f t="shared" si="10"/>
        <v>6.4477272727272723</v>
      </c>
      <c r="BX69" s="1051"/>
      <c r="BY69" s="1051"/>
      <c r="BZ69" s="1051"/>
      <c r="CA69" s="1051"/>
      <c r="CB69" s="1051"/>
      <c r="CC69" s="1051"/>
      <c r="CD69" s="1051"/>
      <c r="CE69" s="1051"/>
      <c r="CF69" s="70">
        <f>ROUND(BW69,0)</f>
        <v>6</v>
      </c>
      <c r="CG69" s="70"/>
      <c r="CH69" s="963" t="e">
        <f>CF69*#REF!</f>
        <v>#REF!</v>
      </c>
      <c r="CI69" s="924"/>
      <c r="CJ69" s="924"/>
      <c r="CK69" s="924"/>
      <c r="CL69" s="924"/>
      <c r="CM69" s="924"/>
      <c r="CN69" s="924"/>
      <c r="CO69" s="924"/>
      <c r="CP69" s="924"/>
      <c r="CQ69" s="924"/>
      <c r="CR69" s="924"/>
      <c r="CS69" s="962"/>
      <c r="CT69" s="70"/>
      <c r="CU69" s="1067" t="e">
        <f>CH69/60</f>
        <v>#REF!</v>
      </c>
      <c r="CV69" s="1068"/>
      <c r="CW69" s="1068"/>
      <c r="CX69" s="1068"/>
      <c r="CY69" s="1068"/>
      <c r="CZ69" s="1068"/>
      <c r="DA69" s="1068"/>
      <c r="DB69" s="1068"/>
      <c r="DC69" s="1068"/>
      <c r="DD69" s="1068"/>
      <c r="DE69" s="1068"/>
      <c r="DF69" s="1069"/>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70"/>
      <c r="FK69" s="70"/>
      <c r="FL69" s="70"/>
      <c r="FM69" s="70"/>
      <c r="FN69" s="70"/>
      <c r="FO69" s="70"/>
      <c r="FP69" s="70"/>
      <c r="FQ69" s="70"/>
      <c r="FR69" s="70"/>
      <c r="FS69" s="70"/>
      <c r="FT69" s="69"/>
      <c r="FU69" s="69"/>
      <c r="FV69" s="69"/>
      <c r="FW69" s="69"/>
      <c r="FX69" s="69"/>
      <c r="FY69" s="69"/>
      <c r="FZ69" s="69"/>
      <c r="GA69" s="69"/>
      <c r="GB69" s="69"/>
      <c r="GC69" s="69"/>
      <c r="GD69" s="69"/>
      <c r="GE69" s="69"/>
      <c r="GF69" s="69"/>
      <c r="GG69" s="69"/>
      <c r="GH69" s="69"/>
      <c r="GI69" s="69"/>
      <c r="GJ69" s="69"/>
      <c r="GK69" s="69"/>
      <c r="GL69" s="69"/>
      <c r="GM69" s="69"/>
      <c r="GN69" s="69"/>
      <c r="GO69" s="69"/>
      <c r="GP69" s="69"/>
      <c r="GQ69" s="69"/>
      <c r="GR69" s="69"/>
      <c r="GS69" s="69"/>
      <c r="GT69" s="69"/>
      <c r="GU69" s="69"/>
      <c r="GV69" s="69"/>
      <c r="GW69" s="69"/>
      <c r="GX69" s="69"/>
      <c r="GY69" s="69"/>
      <c r="GZ69" s="69"/>
    </row>
    <row r="70" spans="5:208" s="68" customFormat="1" ht="25.5" customHeight="1" x14ac:dyDescent="0.2">
      <c r="E70" s="1063"/>
      <c r="F70" s="1063"/>
      <c r="G70" s="1063"/>
      <c r="H70" s="1063"/>
      <c r="I70" s="1063"/>
      <c r="J70" s="1063"/>
      <c r="K70" s="1063"/>
      <c r="L70" s="1063"/>
      <c r="M70" s="1063"/>
      <c r="N70" s="1063"/>
      <c r="O70" s="1063"/>
      <c r="P70" s="1063"/>
      <c r="Q70" s="81"/>
      <c r="R70" s="225"/>
      <c r="S70" s="1070"/>
      <c r="T70" s="1070"/>
      <c r="U70" s="1070"/>
      <c r="V70" s="1070"/>
      <c r="W70" s="1055" t="s">
        <v>705</v>
      </c>
      <c r="X70" s="1055"/>
      <c r="Y70" s="1055"/>
      <c r="Z70" s="1055"/>
      <c r="AA70" s="1055"/>
      <c r="AB70" s="1055"/>
      <c r="AC70" s="1055"/>
      <c r="AD70" s="1055"/>
      <c r="AE70" s="1055"/>
      <c r="AF70" s="1055"/>
      <c r="AG70" s="1055"/>
      <c r="AH70" s="1055"/>
      <c r="AI70" s="1055"/>
      <c r="AJ70" s="1055"/>
      <c r="AK70" s="1055"/>
      <c r="AL70" s="1055" t="s">
        <v>664</v>
      </c>
      <c r="AM70" s="1055"/>
      <c r="AN70" s="1055"/>
      <c r="AO70" s="1055"/>
      <c r="AP70" s="1055"/>
      <c r="AQ70" s="1055"/>
      <c r="AR70" s="1055"/>
      <c r="AS70" s="1055"/>
      <c r="AT70" s="1055"/>
      <c r="AU70" s="1055"/>
      <c r="AV70" s="1055"/>
      <c r="AW70" s="1055"/>
      <c r="AX70" s="1055"/>
      <c r="AY70" s="1055"/>
      <c r="AZ70" s="1055"/>
      <c r="BA70" s="1055"/>
      <c r="BB70" s="1055"/>
      <c r="BC70" s="70"/>
      <c r="BD70" s="1044">
        <f>BD66</f>
        <v>15</v>
      </c>
      <c r="BE70" s="1044"/>
      <c r="BF70" s="1044"/>
      <c r="BG70" s="1044"/>
      <c r="BH70" s="1044"/>
      <c r="BI70" s="1044"/>
      <c r="BJ70" s="1044"/>
      <c r="BK70" s="1044"/>
      <c r="BL70" s="1044"/>
      <c r="BM70" s="70"/>
      <c r="BN70" s="1044">
        <f>'CH Equipe'!CC39</f>
        <v>268.32082500000001</v>
      </c>
      <c r="BO70" s="1044"/>
      <c r="BP70" s="1044"/>
      <c r="BQ70" s="1044"/>
      <c r="BR70" s="1044"/>
      <c r="BS70" s="1044"/>
      <c r="BT70" s="1044"/>
      <c r="BU70" s="1044"/>
      <c r="BV70" s="1044"/>
      <c r="BW70" s="1051">
        <f t="shared" si="10"/>
        <v>6.0982005681818183</v>
      </c>
      <c r="BX70" s="1051"/>
      <c r="BY70" s="1051"/>
      <c r="BZ70" s="1051"/>
      <c r="CA70" s="1051"/>
      <c r="CB70" s="1051"/>
      <c r="CC70" s="1051"/>
      <c r="CD70" s="1051"/>
      <c r="CE70" s="1051"/>
      <c r="CF70" s="70">
        <f>ROUND(BW70,0)</f>
        <v>6</v>
      </c>
      <c r="CG70" s="70"/>
      <c r="CH70" s="963" t="e">
        <f>CF70*#REF!</f>
        <v>#REF!</v>
      </c>
      <c r="CI70" s="924"/>
      <c r="CJ70" s="924"/>
      <c r="CK70" s="924"/>
      <c r="CL70" s="924"/>
      <c r="CM70" s="924"/>
      <c r="CN70" s="924"/>
      <c r="CO70" s="924"/>
      <c r="CP70" s="924"/>
      <c r="CQ70" s="924"/>
      <c r="CR70" s="924"/>
      <c r="CS70" s="962"/>
      <c r="CT70" s="70"/>
      <c r="CU70" s="1067" t="e">
        <f>CH70/60</f>
        <v>#REF!</v>
      </c>
      <c r="CV70" s="1068"/>
      <c r="CW70" s="1068"/>
      <c r="CX70" s="1068"/>
      <c r="CY70" s="1068"/>
      <c r="CZ70" s="1068"/>
      <c r="DA70" s="1068"/>
      <c r="DB70" s="1068"/>
      <c r="DC70" s="1068"/>
      <c r="DD70" s="1068"/>
      <c r="DE70" s="1068"/>
      <c r="DF70" s="1069"/>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70"/>
      <c r="FK70" s="70"/>
      <c r="FL70" s="70"/>
      <c r="FM70" s="70"/>
      <c r="FN70" s="70"/>
      <c r="FO70" s="70"/>
      <c r="FP70" s="70"/>
      <c r="FQ70" s="70"/>
      <c r="FR70" s="70"/>
      <c r="FS70" s="70"/>
      <c r="FT70" s="69"/>
      <c r="FU70" s="69"/>
      <c r="FV70" s="69"/>
      <c r="FW70" s="69"/>
      <c r="FX70" s="69"/>
      <c r="FY70" s="69"/>
      <c r="FZ70" s="69"/>
      <c r="GA70" s="69"/>
      <c r="GB70" s="69"/>
      <c r="GC70" s="69"/>
      <c r="GD70" s="69"/>
      <c r="GE70" s="69"/>
      <c r="GF70" s="69"/>
      <c r="GG70" s="69"/>
      <c r="GH70" s="69"/>
      <c r="GI70" s="69"/>
      <c r="GJ70" s="69"/>
      <c r="GK70" s="69"/>
      <c r="GL70" s="69"/>
      <c r="GM70" s="69"/>
      <c r="GN70" s="69"/>
      <c r="GO70" s="69"/>
      <c r="GP70" s="69"/>
      <c r="GQ70" s="69"/>
      <c r="GR70" s="69"/>
      <c r="GS70" s="69"/>
      <c r="GT70" s="69"/>
      <c r="GU70" s="69"/>
      <c r="GV70" s="69"/>
      <c r="GW70" s="69"/>
      <c r="GX70" s="69"/>
      <c r="GY70" s="69"/>
      <c r="GZ70" s="69"/>
    </row>
    <row r="71" spans="5:208" s="68" customFormat="1" ht="20.100000000000001" customHeight="1" x14ac:dyDescent="0.2">
      <c r="E71" s="1063"/>
      <c r="F71" s="1063"/>
      <c r="G71" s="1063"/>
      <c r="H71" s="1063"/>
      <c r="I71" s="1063"/>
      <c r="J71" s="1063"/>
      <c r="K71" s="1063"/>
      <c r="L71" s="1063"/>
      <c r="M71" s="1063"/>
      <c r="N71" s="1063"/>
      <c r="O71" s="1063"/>
      <c r="P71" s="1063"/>
      <c r="Q71" s="81"/>
      <c r="R71" s="225"/>
      <c r="S71" s="1070"/>
      <c r="T71" s="1070"/>
      <c r="U71" s="1070"/>
      <c r="V71" s="1070"/>
      <c r="W71" s="1064" t="s">
        <v>62</v>
      </c>
      <c r="X71" s="1065"/>
      <c r="Y71" s="1065"/>
      <c r="Z71" s="1065"/>
      <c r="AA71" s="1065"/>
      <c r="AB71" s="1065"/>
      <c r="AC71" s="1065"/>
      <c r="AD71" s="1065"/>
      <c r="AE71" s="1065"/>
      <c r="AF71" s="1065"/>
      <c r="AG71" s="1065"/>
      <c r="AH71" s="1065"/>
      <c r="AI71" s="1065"/>
      <c r="AJ71" s="1065"/>
      <c r="AK71" s="1066"/>
      <c r="AL71" s="1055" t="s">
        <v>664</v>
      </c>
      <c r="AM71" s="1055"/>
      <c r="AN71" s="1055"/>
      <c r="AO71" s="1055"/>
      <c r="AP71" s="1055"/>
      <c r="AQ71" s="1055"/>
      <c r="AR71" s="1055"/>
      <c r="AS71" s="1055"/>
      <c r="AT71" s="1055"/>
      <c r="AU71" s="1055"/>
      <c r="AV71" s="1055"/>
      <c r="AW71" s="1055"/>
      <c r="AX71" s="1055"/>
      <c r="AY71" s="1055"/>
      <c r="AZ71" s="1055"/>
      <c r="BA71" s="1055"/>
      <c r="BB71" s="1055"/>
      <c r="BC71" s="70"/>
      <c r="BD71" s="1044">
        <f>BD66</f>
        <v>15</v>
      </c>
      <c r="BE71" s="1044"/>
      <c r="BF71" s="1044"/>
      <c r="BG71" s="1044"/>
      <c r="BH71" s="1044"/>
      <c r="BI71" s="1044"/>
      <c r="BJ71" s="1044"/>
      <c r="BK71" s="1044"/>
      <c r="BL71" s="1044"/>
      <c r="BM71" s="70"/>
      <c r="BN71" s="1044">
        <f>'CH Equipe'!CC49</f>
        <v>52.112850000000009</v>
      </c>
      <c r="BO71" s="1044"/>
      <c r="BP71" s="1044"/>
      <c r="BQ71" s="1044"/>
      <c r="BR71" s="1044"/>
      <c r="BS71" s="1044"/>
      <c r="BT71" s="1044"/>
      <c r="BU71" s="1044"/>
      <c r="BV71" s="1044"/>
      <c r="BW71" s="1051">
        <f t="shared" si="10"/>
        <v>1.1843829545454547</v>
      </c>
      <c r="BX71" s="1051"/>
      <c r="BY71" s="1051"/>
      <c r="BZ71" s="1051"/>
      <c r="CA71" s="1051"/>
      <c r="CB71" s="1051"/>
      <c r="CC71" s="1051"/>
      <c r="CD71" s="1051"/>
      <c r="CE71" s="1051"/>
      <c r="CF71" s="70">
        <f>ROUND(BW71,0)</f>
        <v>1</v>
      </c>
      <c r="CG71" s="70"/>
      <c r="CH71" s="963" t="e">
        <f>CF71*#REF!</f>
        <v>#REF!</v>
      </c>
      <c r="CI71" s="924"/>
      <c r="CJ71" s="924"/>
      <c r="CK71" s="924"/>
      <c r="CL71" s="924"/>
      <c r="CM71" s="924"/>
      <c r="CN71" s="924"/>
      <c r="CO71" s="924"/>
      <c r="CP71" s="924"/>
      <c r="CQ71" s="924"/>
      <c r="CR71" s="924"/>
      <c r="CS71" s="962"/>
      <c r="CT71" s="70"/>
      <c r="CU71" s="1067" t="e">
        <f>CH71/60</f>
        <v>#REF!</v>
      </c>
      <c r="CV71" s="1068"/>
      <c r="CW71" s="1068"/>
      <c r="CX71" s="1068"/>
      <c r="CY71" s="1068"/>
      <c r="CZ71" s="1068"/>
      <c r="DA71" s="1068"/>
      <c r="DB71" s="1068"/>
      <c r="DC71" s="1068"/>
      <c r="DD71" s="1068"/>
      <c r="DE71" s="1068"/>
      <c r="DF71" s="1069"/>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70"/>
      <c r="FK71" s="70"/>
      <c r="FL71" s="70"/>
      <c r="FM71" s="70"/>
      <c r="FN71" s="70"/>
      <c r="FO71" s="70"/>
      <c r="FP71" s="70"/>
      <c r="FQ71" s="70"/>
      <c r="FR71" s="70"/>
      <c r="FS71" s="70"/>
      <c r="FT71" s="69"/>
      <c r="FU71" s="69"/>
      <c r="FV71" s="69"/>
      <c r="FW71" s="69"/>
      <c r="FX71" s="69"/>
      <c r="FY71" s="69"/>
      <c r="FZ71" s="69"/>
      <c r="GA71" s="69"/>
      <c r="GB71" s="69"/>
      <c r="GC71" s="69"/>
      <c r="GD71" s="69"/>
      <c r="GE71" s="69"/>
      <c r="GF71" s="69"/>
      <c r="GG71" s="69"/>
      <c r="GH71" s="69"/>
      <c r="GI71" s="69"/>
      <c r="GJ71" s="69"/>
      <c r="GK71" s="69"/>
      <c r="GL71" s="69"/>
      <c r="GM71" s="69"/>
      <c r="GN71" s="69"/>
      <c r="GO71" s="69"/>
      <c r="GP71" s="69"/>
      <c r="GQ71" s="69"/>
      <c r="GR71" s="69"/>
      <c r="GS71" s="69"/>
      <c r="GT71" s="69"/>
      <c r="GU71" s="69"/>
      <c r="GV71" s="69"/>
      <c r="GW71" s="69"/>
      <c r="GX71" s="69"/>
      <c r="GY71" s="69"/>
      <c r="GZ71" s="69"/>
    </row>
    <row r="72" spans="5:208" s="68" customFormat="1" ht="20.100000000000001" customHeight="1" x14ac:dyDescent="0.2">
      <c r="E72" s="1063"/>
      <c r="F72" s="1063"/>
      <c r="G72" s="1063"/>
      <c r="H72" s="1063"/>
      <c r="I72" s="1063"/>
      <c r="J72" s="1063"/>
      <c r="K72" s="1063"/>
      <c r="L72" s="1063"/>
      <c r="M72" s="1063"/>
      <c r="N72" s="1063"/>
      <c r="O72" s="1063"/>
      <c r="P72" s="1063"/>
      <c r="Q72" s="81"/>
      <c r="R72" s="225"/>
      <c r="S72" s="1070"/>
      <c r="T72" s="1070"/>
      <c r="U72" s="1070"/>
      <c r="V72" s="1070"/>
      <c r="W72" s="1055" t="s">
        <v>46</v>
      </c>
      <c r="X72" s="1055"/>
      <c r="Y72" s="1055"/>
      <c r="Z72" s="1055"/>
      <c r="AA72" s="1055"/>
      <c r="AB72" s="1055"/>
      <c r="AC72" s="1055"/>
      <c r="AD72" s="1055"/>
      <c r="AE72" s="1055"/>
      <c r="AF72" s="1055"/>
      <c r="AG72" s="1055"/>
      <c r="AH72" s="1055"/>
      <c r="AI72" s="1055"/>
      <c r="AJ72" s="1055"/>
      <c r="AK72" s="1055"/>
      <c r="AL72" s="1055" t="s">
        <v>664</v>
      </c>
      <c r="AM72" s="1055"/>
      <c r="AN72" s="1055"/>
      <c r="AO72" s="1055"/>
      <c r="AP72" s="1055"/>
      <c r="AQ72" s="1055"/>
      <c r="AR72" s="1055"/>
      <c r="AS72" s="1055"/>
      <c r="AT72" s="1055"/>
      <c r="AU72" s="1055"/>
      <c r="AV72" s="1055"/>
      <c r="AW72" s="1055"/>
      <c r="AX72" s="1055"/>
      <c r="AY72" s="1055"/>
      <c r="AZ72" s="1055"/>
      <c r="BA72" s="1055"/>
      <c r="BB72" s="1055"/>
      <c r="BC72" s="70"/>
      <c r="BD72" s="1044">
        <f>BD67</f>
        <v>15</v>
      </c>
      <c r="BE72" s="1044"/>
      <c r="BF72" s="1044"/>
      <c r="BG72" s="1044"/>
      <c r="BH72" s="1044"/>
      <c r="BI72" s="1044"/>
      <c r="BJ72" s="1044"/>
      <c r="BK72" s="1044"/>
      <c r="BL72" s="1044"/>
      <c r="BM72" s="70"/>
      <c r="BN72" s="1044">
        <f>'CH Equipe'!CC61</f>
        <v>67.554400000000001</v>
      </c>
      <c r="BO72" s="1044"/>
      <c r="BP72" s="1044"/>
      <c r="BQ72" s="1044"/>
      <c r="BR72" s="1044"/>
      <c r="BS72" s="1044"/>
      <c r="BT72" s="1044"/>
      <c r="BU72" s="1044"/>
      <c r="BV72" s="1044"/>
      <c r="BW72" s="1051">
        <f t="shared" si="10"/>
        <v>1.5353272727272727</v>
      </c>
      <c r="BX72" s="1051"/>
      <c r="BY72" s="1051"/>
      <c r="BZ72" s="1051"/>
      <c r="CA72" s="1051"/>
      <c r="CB72" s="1051"/>
      <c r="CC72" s="1051"/>
      <c r="CD72" s="1051"/>
      <c r="CE72" s="1051"/>
      <c r="CF72" s="70"/>
      <c r="CG72" s="70"/>
      <c r="CH72" s="70"/>
      <c r="CI72" s="70"/>
      <c r="CJ72" s="70"/>
      <c r="CK72" s="70"/>
      <c r="CL72" s="70"/>
      <c r="CM72" s="70"/>
      <c r="CN72" s="70"/>
      <c r="CO72" s="70"/>
      <c r="CP72" s="70"/>
      <c r="CQ72" s="70"/>
      <c r="CR72" s="70"/>
      <c r="CS72" s="70"/>
      <c r="CT72" s="70"/>
      <c r="CU72" s="117"/>
      <c r="CV72" s="117"/>
      <c r="CW72" s="117"/>
      <c r="CX72" s="117"/>
      <c r="CY72" s="117"/>
      <c r="CZ72" s="117"/>
      <c r="DA72" s="117"/>
      <c r="DB72" s="117"/>
      <c r="DC72" s="117"/>
      <c r="DD72" s="117"/>
      <c r="DE72" s="117"/>
      <c r="DF72" s="117"/>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70"/>
      <c r="FK72" s="70"/>
      <c r="FL72" s="70"/>
      <c r="FM72" s="70"/>
      <c r="FN72" s="70"/>
      <c r="FO72" s="70"/>
      <c r="FP72" s="70"/>
      <c r="FQ72" s="70"/>
      <c r="FR72" s="70"/>
      <c r="FS72" s="70"/>
      <c r="FT72" s="69"/>
      <c r="FU72" s="69"/>
      <c r="FV72" s="69"/>
      <c r="FW72" s="69"/>
      <c r="FX72" s="69"/>
      <c r="FY72" s="69"/>
      <c r="FZ72" s="69"/>
      <c r="GA72" s="69"/>
      <c r="GB72" s="69"/>
      <c r="GC72" s="69"/>
      <c r="GD72" s="69"/>
      <c r="GE72" s="69"/>
      <c r="GF72" s="69"/>
      <c r="GG72" s="69"/>
      <c r="GH72" s="69"/>
      <c r="GI72" s="69"/>
      <c r="GJ72" s="69"/>
      <c r="GK72" s="69"/>
      <c r="GL72" s="69"/>
      <c r="GM72" s="69"/>
      <c r="GN72" s="69"/>
      <c r="GO72" s="69"/>
      <c r="GP72" s="69"/>
      <c r="GQ72" s="69"/>
      <c r="GR72" s="69"/>
      <c r="GS72" s="69"/>
      <c r="GT72" s="69"/>
      <c r="GU72" s="69"/>
      <c r="GV72" s="69"/>
      <c r="GW72" s="69"/>
      <c r="GX72" s="69"/>
      <c r="GY72" s="69"/>
      <c r="GZ72" s="69"/>
    </row>
    <row r="73" spans="5:208" s="68" customFormat="1" ht="20.100000000000001" customHeight="1" x14ac:dyDescent="0.2">
      <c r="E73" s="1063"/>
      <c r="F73" s="1063"/>
      <c r="G73" s="1063"/>
      <c r="H73" s="1063"/>
      <c r="I73" s="1063"/>
      <c r="J73" s="1063"/>
      <c r="K73" s="1063"/>
      <c r="L73" s="1063"/>
      <c r="M73" s="1063"/>
      <c r="N73" s="1063"/>
      <c r="O73" s="1063"/>
      <c r="P73" s="1063"/>
      <c r="Q73" s="81"/>
      <c r="R73" s="225"/>
      <c r="S73" s="1070"/>
      <c r="T73" s="1070"/>
      <c r="U73" s="1070"/>
      <c r="V73" s="1070"/>
      <c r="W73" s="1055" t="s">
        <v>287</v>
      </c>
      <c r="X73" s="1055"/>
      <c r="Y73" s="1055"/>
      <c r="Z73" s="1055"/>
      <c r="AA73" s="1055"/>
      <c r="AB73" s="1055"/>
      <c r="AC73" s="1055"/>
      <c r="AD73" s="1055"/>
      <c r="AE73" s="1055"/>
      <c r="AF73" s="1055"/>
      <c r="AG73" s="1055"/>
      <c r="AH73" s="1055"/>
      <c r="AI73" s="1055"/>
      <c r="AJ73" s="1055"/>
      <c r="AK73" s="1055"/>
      <c r="AL73" s="1055" t="s">
        <v>664</v>
      </c>
      <c r="AM73" s="1055"/>
      <c r="AN73" s="1055"/>
      <c r="AO73" s="1055"/>
      <c r="AP73" s="1055"/>
      <c r="AQ73" s="1055"/>
      <c r="AR73" s="1055"/>
      <c r="AS73" s="1055"/>
      <c r="AT73" s="1055"/>
      <c r="AU73" s="1055"/>
      <c r="AV73" s="1055"/>
      <c r="AW73" s="1055"/>
      <c r="AX73" s="1055"/>
      <c r="AY73" s="1055"/>
      <c r="AZ73" s="1055"/>
      <c r="BA73" s="1055"/>
      <c r="BB73" s="1055"/>
      <c r="BC73" s="70"/>
      <c r="BD73" s="1044">
        <f>BD66</f>
        <v>15</v>
      </c>
      <c r="BE73" s="1044"/>
      <c r="BF73" s="1044"/>
      <c r="BG73" s="1044"/>
      <c r="BH73" s="1044"/>
      <c r="BI73" s="1044"/>
      <c r="BJ73" s="1044"/>
      <c r="BK73" s="1044"/>
      <c r="BL73" s="1044"/>
      <c r="BM73" s="70"/>
      <c r="BN73" s="1044">
        <f>'CH Equipe'!CC68</f>
        <v>0</v>
      </c>
      <c r="BO73" s="1044"/>
      <c r="BP73" s="1044"/>
      <c r="BQ73" s="1044"/>
      <c r="BR73" s="1044"/>
      <c r="BS73" s="1044"/>
      <c r="BT73" s="1044"/>
      <c r="BU73" s="1044"/>
      <c r="BV73" s="1044"/>
      <c r="BW73" s="1051">
        <f t="shared" si="10"/>
        <v>0</v>
      </c>
      <c r="BX73" s="1051"/>
      <c r="BY73" s="1051"/>
      <c r="BZ73" s="1051"/>
      <c r="CA73" s="1051"/>
      <c r="CB73" s="1051"/>
      <c r="CC73" s="1051"/>
      <c r="CD73" s="1051"/>
      <c r="CE73" s="1051"/>
      <c r="CF73" s="70"/>
      <c r="CG73" s="70"/>
      <c r="CH73" s="70"/>
      <c r="CI73" s="70"/>
      <c r="CJ73" s="70"/>
      <c r="CK73" s="70"/>
      <c r="CL73" s="70"/>
      <c r="CM73" s="70"/>
      <c r="CN73" s="70"/>
      <c r="CO73" s="70"/>
      <c r="CP73" s="70"/>
      <c r="CQ73" s="70"/>
      <c r="CR73" s="70"/>
      <c r="CS73" s="70"/>
      <c r="CT73" s="70"/>
      <c r="CU73" s="117"/>
      <c r="CV73" s="117"/>
      <c r="CW73" s="117"/>
      <c r="CX73" s="117"/>
      <c r="CY73" s="117"/>
      <c r="CZ73" s="117"/>
      <c r="DA73" s="117"/>
      <c r="DB73" s="117"/>
      <c r="DC73" s="117"/>
      <c r="DD73" s="117"/>
      <c r="DE73" s="117"/>
      <c r="DF73" s="117"/>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70"/>
      <c r="FK73" s="70"/>
      <c r="FL73" s="70"/>
      <c r="FM73" s="70"/>
      <c r="FN73" s="70"/>
      <c r="FO73" s="70"/>
      <c r="FP73" s="70"/>
      <c r="FQ73" s="70"/>
      <c r="FR73" s="70"/>
      <c r="FS73" s="70"/>
      <c r="FT73" s="69"/>
      <c r="FU73" s="69"/>
      <c r="FV73" s="69"/>
      <c r="FW73" s="69"/>
      <c r="FX73" s="69"/>
      <c r="FY73" s="69"/>
      <c r="FZ73" s="69"/>
      <c r="GA73" s="69"/>
      <c r="GB73" s="69"/>
      <c r="GC73" s="69"/>
      <c r="GD73" s="69"/>
      <c r="GE73" s="69"/>
      <c r="GF73" s="69"/>
      <c r="GG73" s="69"/>
      <c r="GH73" s="69"/>
      <c r="GI73" s="69"/>
      <c r="GJ73" s="69"/>
      <c r="GK73" s="69"/>
      <c r="GL73" s="69"/>
      <c r="GM73" s="69"/>
      <c r="GN73" s="69"/>
      <c r="GO73" s="69"/>
      <c r="GP73" s="69"/>
      <c r="GQ73" s="69"/>
      <c r="GR73" s="69"/>
      <c r="GS73" s="69"/>
      <c r="GT73" s="69"/>
      <c r="GU73" s="69"/>
      <c r="GV73" s="69"/>
      <c r="GW73" s="69"/>
      <c r="GX73" s="69"/>
      <c r="GY73" s="69"/>
      <c r="GZ73" s="69"/>
    </row>
    <row r="74" spans="5:208" s="68" customFormat="1" ht="20.100000000000001" customHeight="1" x14ac:dyDescent="0.2">
      <c r="E74" s="1063"/>
      <c r="F74" s="1063"/>
      <c r="G74" s="1063"/>
      <c r="H74" s="1063"/>
      <c r="I74" s="1063"/>
      <c r="J74" s="1063"/>
      <c r="K74" s="1063"/>
      <c r="L74" s="1063"/>
      <c r="M74" s="1063"/>
      <c r="N74" s="1063"/>
      <c r="O74" s="1063"/>
      <c r="P74" s="1063"/>
      <c r="Q74" s="81"/>
      <c r="R74" s="225"/>
      <c r="S74" s="1070"/>
      <c r="T74" s="1070"/>
      <c r="U74" s="1070"/>
      <c r="V74" s="1070"/>
      <c r="W74" s="1055" t="s">
        <v>397</v>
      </c>
      <c r="X74" s="1055"/>
      <c r="Y74" s="1055"/>
      <c r="Z74" s="1055"/>
      <c r="AA74" s="1055"/>
      <c r="AB74" s="1055"/>
      <c r="AC74" s="1055"/>
      <c r="AD74" s="1055"/>
      <c r="AE74" s="1055"/>
      <c r="AF74" s="1055"/>
      <c r="AG74" s="1055"/>
      <c r="AH74" s="1055"/>
      <c r="AI74" s="1055"/>
      <c r="AJ74" s="1055"/>
      <c r="AK74" s="1055"/>
      <c r="AL74" s="1055" t="s">
        <v>664</v>
      </c>
      <c r="AM74" s="1055"/>
      <c r="AN74" s="1055"/>
      <c r="AO74" s="1055"/>
      <c r="AP74" s="1055"/>
      <c r="AQ74" s="1055"/>
      <c r="AR74" s="1055"/>
      <c r="AS74" s="1055"/>
      <c r="AT74" s="1055"/>
      <c r="AU74" s="1055"/>
      <c r="AV74" s="1055"/>
      <c r="AW74" s="1055"/>
      <c r="AX74" s="1055"/>
      <c r="AY74" s="1055"/>
      <c r="AZ74" s="1055"/>
      <c r="BA74" s="1055"/>
      <c r="BB74" s="1055"/>
      <c r="BC74" s="70"/>
      <c r="BD74" s="1044">
        <f>BD66</f>
        <v>15</v>
      </c>
      <c r="BE74" s="1044"/>
      <c r="BF74" s="1044"/>
      <c r="BG74" s="1044"/>
      <c r="BH74" s="1044"/>
      <c r="BI74" s="1044"/>
      <c r="BJ74" s="1044"/>
      <c r="BK74" s="1044"/>
      <c r="BL74" s="1044"/>
      <c r="BM74" s="70"/>
      <c r="BN74" s="1044">
        <f>'CH Equipe'!CC78</f>
        <v>0</v>
      </c>
      <c r="BO74" s="1044"/>
      <c r="BP74" s="1044"/>
      <c r="BQ74" s="1044"/>
      <c r="BR74" s="1044"/>
      <c r="BS74" s="1044"/>
      <c r="BT74" s="1044"/>
      <c r="BU74" s="1044"/>
      <c r="BV74" s="1044"/>
      <c r="BW74" s="1051">
        <f t="shared" si="10"/>
        <v>0</v>
      </c>
      <c r="BX74" s="1051"/>
      <c r="BY74" s="1051"/>
      <c r="BZ74" s="1051"/>
      <c r="CA74" s="1051"/>
      <c r="CB74" s="1051"/>
      <c r="CC74" s="1051"/>
      <c r="CD74" s="1051"/>
      <c r="CE74" s="1051"/>
      <c r="CF74" s="70"/>
      <c r="CG74" s="70"/>
      <c r="CH74" s="70"/>
      <c r="CI74" s="70"/>
      <c r="CJ74" s="70"/>
      <c r="CK74" s="70"/>
      <c r="CL74" s="70"/>
      <c r="CM74" s="70"/>
      <c r="CN74" s="70"/>
      <c r="CO74" s="70"/>
      <c r="CP74" s="70"/>
      <c r="CQ74" s="70"/>
      <c r="CR74" s="70"/>
      <c r="CS74" s="70"/>
      <c r="CT74" s="70"/>
      <c r="CU74" s="117"/>
      <c r="CV74" s="117"/>
      <c r="CW74" s="117"/>
      <c r="CX74" s="117"/>
      <c r="CY74" s="117"/>
      <c r="CZ74" s="117"/>
      <c r="DA74" s="117"/>
      <c r="DB74" s="117"/>
      <c r="DC74" s="117"/>
      <c r="DD74" s="117"/>
      <c r="DE74" s="117"/>
      <c r="DF74" s="117"/>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70"/>
      <c r="FK74" s="70"/>
      <c r="FL74" s="70"/>
      <c r="FM74" s="70"/>
      <c r="FN74" s="70"/>
      <c r="FO74" s="70"/>
      <c r="FP74" s="70"/>
      <c r="FQ74" s="70"/>
      <c r="FR74" s="70"/>
      <c r="FS74" s="70"/>
      <c r="FT74" s="69"/>
      <c r="FU74" s="69"/>
      <c r="FV74" s="69"/>
      <c r="FW74" s="69"/>
      <c r="FX74" s="69"/>
      <c r="FY74" s="69"/>
      <c r="FZ74" s="69"/>
      <c r="GA74" s="69"/>
      <c r="GB74" s="69"/>
      <c r="GC74" s="69"/>
      <c r="GD74" s="69"/>
      <c r="GE74" s="69"/>
      <c r="GF74" s="69"/>
      <c r="GG74" s="69"/>
      <c r="GH74" s="69"/>
      <c r="GI74" s="69"/>
      <c r="GJ74" s="69"/>
      <c r="GK74" s="69"/>
      <c r="GL74" s="69"/>
      <c r="GM74" s="69"/>
      <c r="GN74" s="69"/>
      <c r="GO74" s="69"/>
      <c r="GP74" s="69"/>
      <c r="GQ74" s="69"/>
      <c r="GR74" s="69"/>
      <c r="GS74" s="69"/>
      <c r="GT74" s="69"/>
      <c r="GU74" s="69"/>
      <c r="GV74" s="69"/>
      <c r="GW74" s="69"/>
      <c r="GX74" s="69"/>
      <c r="GY74" s="69"/>
      <c r="GZ74" s="69"/>
    </row>
    <row r="75" spans="5:208" s="68" customFormat="1" ht="5.0999999999999996" customHeight="1" x14ac:dyDescent="0.2">
      <c r="E75" s="1063"/>
      <c r="F75" s="1063"/>
      <c r="G75" s="1063"/>
      <c r="H75" s="1063"/>
      <c r="I75" s="1063"/>
      <c r="J75" s="1063"/>
      <c r="K75" s="1063"/>
      <c r="L75" s="1063"/>
      <c r="M75" s="1063"/>
      <c r="N75" s="1063"/>
      <c r="O75" s="1063"/>
      <c r="P75" s="1063"/>
      <c r="Q75" s="81"/>
      <c r="R75" s="225"/>
      <c r="S75" s="1060"/>
      <c r="T75" s="1060"/>
      <c r="U75" s="1060"/>
      <c r="V75" s="1060"/>
      <c r="W75" s="1060"/>
      <c r="X75" s="1060"/>
      <c r="Y75" s="1060"/>
      <c r="Z75" s="1060"/>
      <c r="AA75" s="1060"/>
      <c r="AB75" s="1060"/>
      <c r="AC75" s="1060"/>
      <c r="AD75" s="1060"/>
      <c r="AE75" s="1060"/>
      <c r="AF75" s="1060"/>
      <c r="AG75" s="1060"/>
      <c r="AH75" s="1060"/>
      <c r="AI75" s="1060"/>
      <c r="AJ75" s="1060"/>
      <c r="AK75" s="1060"/>
      <c r="AL75" s="1060"/>
      <c r="AM75" s="1060"/>
      <c r="AN75" s="1060"/>
      <c r="AO75" s="1060"/>
      <c r="AP75" s="1060"/>
      <c r="AQ75" s="1060"/>
      <c r="AR75" s="1060"/>
      <c r="AS75" s="1060"/>
      <c r="AT75" s="1060"/>
      <c r="AU75" s="1060"/>
      <c r="AV75" s="1060"/>
      <c r="AW75" s="1060"/>
      <c r="AX75" s="1060"/>
      <c r="AY75" s="1060"/>
      <c r="AZ75" s="1060"/>
      <c r="BA75" s="1060"/>
      <c r="BB75" s="1060"/>
      <c r="BC75" s="70"/>
      <c r="BD75" s="961"/>
      <c r="BE75" s="961"/>
      <c r="BF75" s="961"/>
      <c r="BG75" s="961"/>
      <c r="BH75" s="961"/>
      <c r="BI75" s="961"/>
      <c r="BJ75" s="961"/>
      <c r="BK75" s="961"/>
      <c r="BL75" s="961"/>
      <c r="BM75" s="70"/>
      <c r="BN75" s="70"/>
      <c r="BO75" s="70"/>
      <c r="BP75" s="70"/>
      <c r="BQ75" s="70"/>
      <c r="BR75" s="70"/>
      <c r="BS75" s="70"/>
      <c r="BT75" s="70"/>
      <c r="BU75" s="70"/>
      <c r="BV75" s="70"/>
      <c r="BW75" s="70"/>
      <c r="BX75" s="70"/>
      <c r="BY75" s="70"/>
      <c r="BZ75" s="70"/>
      <c r="CA75" s="70"/>
      <c r="CB75" s="70"/>
      <c r="CC75" s="70"/>
      <c r="CD75" s="70"/>
      <c r="CE75" s="70"/>
      <c r="CF75" s="70"/>
      <c r="CG75" s="70"/>
      <c r="CH75" s="961"/>
      <c r="CI75" s="961"/>
      <c r="CJ75" s="961"/>
      <c r="CK75" s="961"/>
      <c r="CL75" s="961"/>
      <c r="CM75" s="961"/>
      <c r="CN75" s="961"/>
      <c r="CO75" s="961"/>
      <c r="CP75" s="961"/>
      <c r="CQ75" s="961"/>
      <c r="CR75" s="961"/>
      <c r="CS75" s="961"/>
      <c r="CT75" s="70"/>
      <c r="CU75" s="961"/>
      <c r="CV75" s="961"/>
      <c r="CW75" s="961"/>
      <c r="CX75" s="961"/>
      <c r="CY75" s="961"/>
      <c r="CZ75" s="961"/>
      <c r="DA75" s="961"/>
      <c r="DB75" s="961"/>
      <c r="DC75" s="961"/>
      <c r="DD75" s="961"/>
      <c r="DE75" s="961"/>
      <c r="DF75" s="96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70"/>
      <c r="FK75" s="70"/>
      <c r="FL75" s="70"/>
      <c r="FM75" s="70"/>
      <c r="FN75" s="70"/>
      <c r="FO75" s="70"/>
      <c r="FP75" s="70"/>
      <c r="FQ75" s="70"/>
      <c r="FR75" s="70"/>
      <c r="FS75" s="70"/>
      <c r="FT75" s="69"/>
      <c r="FU75" s="69"/>
      <c r="FV75" s="69"/>
      <c r="FW75" s="69"/>
      <c r="FX75" s="69"/>
      <c r="FY75" s="69"/>
      <c r="FZ75" s="69"/>
      <c r="GA75" s="69"/>
      <c r="GB75" s="69"/>
      <c r="GC75" s="69"/>
      <c r="GD75" s="69"/>
      <c r="GE75" s="69"/>
      <c r="GF75" s="69"/>
      <c r="GG75" s="69"/>
      <c r="GH75" s="69"/>
      <c r="GI75" s="69"/>
      <c r="GJ75" s="69"/>
      <c r="GK75" s="69"/>
      <c r="GL75" s="69"/>
      <c r="GM75" s="69"/>
      <c r="GN75" s="69"/>
      <c r="GO75" s="69"/>
      <c r="GP75" s="69"/>
      <c r="GQ75" s="69"/>
      <c r="GR75" s="69"/>
      <c r="GS75" s="69"/>
      <c r="GT75" s="69"/>
      <c r="GU75" s="69"/>
      <c r="GV75" s="69"/>
      <c r="GW75" s="69"/>
      <c r="GX75" s="69"/>
      <c r="GY75" s="69"/>
      <c r="GZ75" s="69"/>
    </row>
    <row r="76" spans="5:208" s="68" customFormat="1" ht="24.75" customHeight="1" x14ac:dyDescent="0.2">
      <c r="E76" s="1063"/>
      <c r="F76" s="1063"/>
      <c r="G76" s="1063"/>
      <c r="H76" s="1063"/>
      <c r="I76" s="1063"/>
      <c r="J76" s="1063"/>
      <c r="K76" s="1063"/>
      <c r="L76" s="1063"/>
      <c r="M76" s="1063"/>
      <c r="N76" s="1063"/>
      <c r="O76" s="1063"/>
      <c r="P76" s="1063"/>
      <c r="Q76" s="81"/>
      <c r="R76" s="225"/>
      <c r="S76" s="1060"/>
      <c r="T76" s="1060"/>
      <c r="U76" s="1060"/>
      <c r="V76" s="1060"/>
      <c r="W76" s="1060"/>
      <c r="X76" s="1060"/>
      <c r="Y76" s="1060"/>
      <c r="Z76" s="1060"/>
      <c r="AA76" s="1060"/>
      <c r="AB76" s="1060"/>
      <c r="AC76" s="1060"/>
      <c r="AD76" s="1060"/>
      <c r="AE76" s="1060"/>
      <c r="AF76" s="1060"/>
      <c r="AG76" s="1060"/>
      <c r="AH76" s="1060"/>
      <c r="AI76" s="1060"/>
      <c r="AJ76" s="1060"/>
      <c r="AK76" s="1060"/>
      <c r="AL76" s="1060"/>
      <c r="AM76" s="1060"/>
      <c r="AN76" s="1060"/>
      <c r="AO76" s="1060"/>
      <c r="AP76" s="1060"/>
      <c r="AQ76" s="1060"/>
      <c r="AR76" s="1060"/>
      <c r="AS76" s="1060"/>
      <c r="AT76" s="1060"/>
      <c r="AU76" s="1060"/>
      <c r="AV76" s="1060"/>
      <c r="AW76" s="1060"/>
      <c r="AX76" s="1060"/>
      <c r="AY76" s="1060"/>
      <c r="AZ76" s="1060"/>
      <c r="BA76" s="1060"/>
      <c r="BB76" s="1060"/>
      <c r="BC76" s="70"/>
      <c r="BD76" s="961"/>
      <c r="BE76" s="961"/>
      <c r="BF76" s="961"/>
      <c r="BG76" s="961"/>
      <c r="BH76" s="961"/>
      <c r="BI76" s="961"/>
      <c r="BJ76" s="961"/>
      <c r="BK76" s="961"/>
      <c r="BL76" s="961"/>
      <c r="BM76" s="70"/>
      <c r="BN76" s="69"/>
      <c r="BO76" s="69"/>
      <c r="BP76" s="69"/>
      <c r="BQ76" s="69"/>
      <c r="BR76" s="69"/>
      <c r="BS76" s="69"/>
      <c r="BT76" s="69"/>
      <c r="BU76" s="69"/>
      <c r="BV76" s="69"/>
      <c r="BW76" s="1044" t="s">
        <v>666</v>
      </c>
      <c r="BX76" s="1044"/>
      <c r="BY76" s="1044"/>
      <c r="BZ76" s="1044"/>
      <c r="CA76" s="1044"/>
      <c r="CB76" s="1044"/>
      <c r="CC76" s="1044"/>
      <c r="CD76" s="1044"/>
      <c r="CE76" s="1044"/>
      <c r="CF76" s="70"/>
      <c r="CG76" s="70"/>
      <c r="CH76" s="965"/>
      <c r="CI76" s="966"/>
      <c r="CJ76" s="966"/>
      <c r="CK76" s="966"/>
      <c r="CL76" s="966"/>
      <c r="CM76" s="966"/>
      <c r="CN76" s="966"/>
      <c r="CO76" s="966"/>
      <c r="CP76" s="966"/>
      <c r="CQ76" s="966"/>
      <c r="CR76" s="966"/>
      <c r="CS76" s="967"/>
      <c r="CT76" s="70"/>
      <c r="CU76" s="1057">
        <f>SUM('[1]CH Equipe'!CG121:CO121)</f>
        <v>0</v>
      </c>
      <c r="CV76" s="1058"/>
      <c r="CW76" s="1058"/>
      <c r="CX76" s="1058"/>
      <c r="CY76" s="1058"/>
      <c r="CZ76" s="1058"/>
      <c r="DA76" s="1058"/>
      <c r="DB76" s="1058"/>
      <c r="DC76" s="1058"/>
      <c r="DD76" s="1058"/>
      <c r="DE76" s="1058"/>
      <c r="DF76" s="1059"/>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70"/>
      <c r="FK76" s="70"/>
      <c r="FL76" s="70"/>
      <c r="FM76" s="70"/>
      <c r="FN76" s="70"/>
      <c r="FO76" s="70"/>
      <c r="FP76" s="70"/>
      <c r="FQ76" s="70"/>
      <c r="FR76" s="70"/>
      <c r="FS76" s="70"/>
      <c r="FT76" s="69"/>
      <c r="FU76" s="69"/>
      <c r="FV76" s="69"/>
      <c r="FW76" s="69"/>
      <c r="FX76" s="69"/>
      <c r="FY76" s="69"/>
      <c r="FZ76" s="69"/>
      <c r="GA76" s="69"/>
      <c r="GB76" s="69"/>
      <c r="GC76" s="69"/>
      <c r="GD76" s="69"/>
      <c r="GE76" s="69"/>
      <c r="GF76" s="69"/>
      <c r="GG76" s="69"/>
      <c r="GH76" s="69"/>
      <c r="GI76" s="69"/>
      <c r="GJ76" s="69"/>
      <c r="GK76" s="69"/>
      <c r="GL76" s="69"/>
      <c r="GM76" s="69"/>
      <c r="GN76" s="69"/>
      <c r="GO76" s="69"/>
      <c r="GP76" s="69"/>
      <c r="GQ76" s="69"/>
      <c r="GR76" s="69"/>
      <c r="GS76" s="69"/>
      <c r="GT76" s="69"/>
      <c r="GU76" s="69"/>
      <c r="GV76" s="69"/>
      <c r="GW76" s="69"/>
      <c r="GX76" s="69"/>
      <c r="GY76" s="69"/>
      <c r="GZ76" s="69"/>
    </row>
    <row r="77" spans="5:208" s="68" customFormat="1" ht="5.0999999999999996" customHeight="1" x14ac:dyDescent="0.2">
      <c r="E77" s="1063"/>
      <c r="F77" s="1063"/>
      <c r="G77" s="1063"/>
      <c r="H77" s="1063"/>
      <c r="I77" s="1063"/>
      <c r="J77" s="1063"/>
      <c r="K77" s="1063"/>
      <c r="L77" s="1063"/>
      <c r="M77" s="1063"/>
      <c r="N77" s="1063"/>
      <c r="O77" s="1063"/>
      <c r="P77" s="1063"/>
      <c r="Q77" s="81"/>
      <c r="R77" s="225"/>
      <c r="S77" s="1060"/>
      <c r="T77" s="1060"/>
      <c r="U77" s="1060"/>
      <c r="V77" s="1060"/>
      <c r="W77" s="1060"/>
      <c r="X77" s="1060"/>
      <c r="Y77" s="1060"/>
      <c r="Z77" s="1060"/>
      <c r="AA77" s="1060"/>
      <c r="AB77" s="1060"/>
      <c r="AC77" s="1060"/>
      <c r="AD77" s="1060"/>
      <c r="AE77" s="1060"/>
      <c r="AF77" s="1060"/>
      <c r="AG77" s="1060"/>
      <c r="AH77" s="1060"/>
      <c r="AI77" s="1060"/>
      <c r="AJ77" s="1060"/>
      <c r="AK77" s="1060"/>
      <c r="AL77" s="1060"/>
      <c r="AM77" s="1060"/>
      <c r="AN77" s="1060"/>
      <c r="AO77" s="1060"/>
      <c r="AP77" s="1060"/>
      <c r="AQ77" s="1060"/>
      <c r="AR77" s="1060"/>
      <c r="AS77" s="1060"/>
      <c r="AT77" s="1060"/>
      <c r="AU77" s="1060"/>
      <c r="AV77" s="1060"/>
      <c r="AW77" s="1060"/>
      <c r="AX77" s="1060"/>
      <c r="AY77" s="1060"/>
      <c r="AZ77" s="1060"/>
      <c r="BA77" s="1060"/>
      <c r="BB77" s="1060"/>
      <c r="BC77" s="70"/>
      <c r="BD77" s="961"/>
      <c r="BE77" s="961"/>
      <c r="BF77" s="961"/>
      <c r="BG77" s="961"/>
      <c r="BH77" s="961"/>
      <c r="BI77" s="961"/>
      <c r="BJ77" s="961"/>
      <c r="BK77" s="961"/>
      <c r="BL77" s="961"/>
      <c r="BM77" s="70"/>
      <c r="BN77" s="70"/>
      <c r="BO77" s="70"/>
      <c r="BP77" s="70"/>
      <c r="BQ77" s="70"/>
      <c r="BR77" s="70"/>
      <c r="BS77" s="70"/>
      <c r="BT77" s="70"/>
      <c r="BU77" s="70"/>
      <c r="BV77" s="70"/>
      <c r="BW77" s="70"/>
      <c r="BX77" s="70"/>
      <c r="BY77" s="70"/>
      <c r="BZ77" s="70"/>
      <c r="CA77" s="70"/>
      <c r="CB77" s="70"/>
      <c r="CC77" s="70"/>
      <c r="CD77" s="70"/>
      <c r="CE77" s="70"/>
      <c r="CF77" s="70"/>
      <c r="CG77" s="70"/>
      <c r="CH77" s="961"/>
      <c r="CI77" s="961"/>
      <c r="CJ77" s="961"/>
      <c r="CK77" s="961"/>
      <c r="CL77" s="961"/>
      <c r="CM77" s="961"/>
      <c r="CN77" s="961"/>
      <c r="CO77" s="961"/>
      <c r="CP77" s="961"/>
      <c r="CQ77" s="961"/>
      <c r="CR77" s="961"/>
      <c r="CS77" s="961"/>
      <c r="CT77" s="70"/>
      <c r="CU77" s="961"/>
      <c r="CV77" s="961"/>
      <c r="CW77" s="961"/>
      <c r="CX77" s="961"/>
      <c r="CY77" s="961"/>
      <c r="CZ77" s="961"/>
      <c r="DA77" s="961"/>
      <c r="DB77" s="961"/>
      <c r="DC77" s="961"/>
      <c r="DD77" s="961"/>
      <c r="DE77" s="961"/>
      <c r="DF77" s="96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70"/>
      <c r="FK77" s="70"/>
      <c r="FL77" s="70"/>
      <c r="FM77" s="70"/>
      <c r="FN77" s="70"/>
      <c r="FO77" s="70"/>
      <c r="FP77" s="70"/>
      <c r="FQ77" s="70"/>
      <c r="FR77" s="70"/>
      <c r="FS77" s="70"/>
      <c r="FT77" s="69"/>
      <c r="FU77" s="69"/>
      <c r="FV77" s="69"/>
      <c r="FW77" s="69"/>
      <c r="FX77" s="69"/>
      <c r="FY77" s="69"/>
      <c r="FZ77" s="69"/>
      <c r="GA77" s="69"/>
      <c r="GB77" s="69"/>
      <c r="GC77" s="69"/>
      <c r="GD77" s="69"/>
      <c r="GE77" s="69"/>
      <c r="GF77" s="69"/>
      <c r="GG77" s="69"/>
      <c r="GH77" s="69"/>
      <c r="GI77" s="69"/>
      <c r="GJ77" s="69"/>
      <c r="GK77" s="69"/>
      <c r="GL77" s="69"/>
      <c r="GM77" s="69"/>
      <c r="GN77" s="69"/>
      <c r="GO77" s="69"/>
      <c r="GP77" s="69"/>
      <c r="GQ77" s="69"/>
      <c r="GR77" s="69"/>
      <c r="GS77" s="69"/>
      <c r="GT77" s="69"/>
      <c r="GU77" s="69"/>
      <c r="GV77" s="69"/>
      <c r="GW77" s="69"/>
      <c r="GX77" s="69"/>
      <c r="GY77" s="69"/>
      <c r="GZ77" s="69"/>
    </row>
    <row r="78" spans="5:208" s="68" customFormat="1" ht="25.5" customHeight="1" x14ac:dyDescent="0.2">
      <c r="E78" s="1063"/>
      <c r="F78" s="1063"/>
      <c r="G78" s="1063"/>
      <c r="H78" s="1063"/>
      <c r="I78" s="1063"/>
      <c r="J78" s="1063"/>
      <c r="K78" s="1063"/>
      <c r="L78" s="1063"/>
      <c r="M78" s="1063"/>
      <c r="N78" s="1063"/>
      <c r="O78" s="1063"/>
      <c r="P78" s="1063"/>
      <c r="Q78" s="81"/>
      <c r="R78" s="225"/>
      <c r="S78" s="1061" t="s">
        <v>96</v>
      </c>
      <c r="T78" s="1055"/>
      <c r="U78" s="1055"/>
      <c r="V78" s="1055"/>
      <c r="W78" s="1055"/>
      <c r="X78" s="1055"/>
      <c r="Y78" s="1055"/>
      <c r="Z78" s="1055"/>
      <c r="AA78" s="1055"/>
      <c r="AB78" s="1055"/>
      <c r="AC78" s="1055"/>
      <c r="AD78" s="1055"/>
      <c r="AE78" s="1055"/>
      <c r="AF78" s="1055"/>
      <c r="AG78" s="1055"/>
      <c r="AH78" s="1055"/>
      <c r="AI78" s="1055"/>
      <c r="AJ78" s="1055"/>
      <c r="AK78" s="1055"/>
      <c r="AL78" s="1055" t="s">
        <v>667</v>
      </c>
      <c r="AM78" s="1055"/>
      <c r="AN78" s="1055"/>
      <c r="AO78" s="1055"/>
      <c r="AP78" s="1055"/>
      <c r="AQ78" s="1055"/>
      <c r="AR78" s="1055"/>
      <c r="AS78" s="1055"/>
      <c r="AT78" s="1055"/>
      <c r="AU78" s="1055"/>
      <c r="AV78" s="1055"/>
      <c r="AW78" s="1055"/>
      <c r="AX78" s="1055"/>
      <c r="AY78" s="1055"/>
      <c r="AZ78" s="1055"/>
      <c r="BA78" s="1055"/>
      <c r="BB78" s="1055"/>
      <c r="BC78" s="70"/>
      <c r="BD78" s="1044">
        <f>BD66</f>
        <v>15</v>
      </c>
      <c r="BE78" s="1044"/>
      <c r="BF78" s="1044"/>
      <c r="BG78" s="1044"/>
      <c r="BH78" s="1044"/>
      <c r="BI78" s="1044"/>
      <c r="BJ78" s="1044"/>
      <c r="BK78" s="1044"/>
      <c r="BL78" s="1044"/>
      <c r="BM78" s="70"/>
      <c r="BN78" s="961"/>
      <c r="BO78" s="961"/>
      <c r="BP78" s="961"/>
      <c r="BQ78" s="961"/>
      <c r="BR78" s="961"/>
      <c r="BS78" s="961"/>
      <c r="BT78" s="961"/>
      <c r="BU78" s="961"/>
      <c r="BV78" s="961"/>
      <c r="BW78" s="1044">
        <f>'CH Equipe'!CG118</f>
        <v>27.98173252840909</v>
      </c>
      <c r="BX78" s="1044"/>
      <c r="BY78" s="1044"/>
      <c r="BZ78" s="1044"/>
      <c r="CA78" s="1044"/>
      <c r="CB78" s="1044"/>
      <c r="CC78" s="1044"/>
      <c r="CD78" s="1044"/>
      <c r="CE78" s="1044"/>
      <c r="CF78" s="70"/>
      <c r="CG78" s="70"/>
      <c r="CH78" s="965"/>
      <c r="CI78" s="966"/>
      <c r="CJ78" s="966"/>
      <c r="CK78" s="966"/>
      <c r="CL78" s="966"/>
      <c r="CM78" s="966"/>
      <c r="CN78" s="966"/>
      <c r="CO78" s="966"/>
      <c r="CP78" s="966"/>
      <c r="CQ78" s="966"/>
      <c r="CR78" s="966"/>
      <c r="CS78" s="967"/>
      <c r="CT78" s="70"/>
      <c r="CU78" s="1057">
        <f>SUM('[1]CH Equipe'!CG123:CO123)</f>
        <v>0</v>
      </c>
      <c r="CV78" s="1058"/>
      <c r="CW78" s="1058"/>
      <c r="CX78" s="1058"/>
      <c r="CY78" s="1058"/>
      <c r="CZ78" s="1058"/>
      <c r="DA78" s="1058"/>
      <c r="DB78" s="1058"/>
      <c r="DC78" s="1058"/>
      <c r="DD78" s="1058"/>
      <c r="DE78" s="1058"/>
      <c r="DF78" s="1059"/>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70"/>
      <c r="FK78" s="70"/>
      <c r="FL78" s="70"/>
      <c r="FM78" s="70"/>
      <c r="FN78" s="70"/>
      <c r="FO78" s="70"/>
      <c r="FP78" s="70"/>
      <c r="FQ78" s="70"/>
      <c r="FR78" s="70"/>
      <c r="FS78" s="70"/>
      <c r="FT78" s="69"/>
      <c r="FU78" s="69"/>
      <c r="FV78" s="69"/>
      <c r="FW78" s="69"/>
      <c r="FX78" s="69"/>
      <c r="FY78" s="69"/>
      <c r="FZ78" s="69"/>
      <c r="GA78" s="69"/>
      <c r="GB78" s="69"/>
      <c r="GC78" s="69"/>
      <c r="GD78" s="69"/>
      <c r="GE78" s="69"/>
      <c r="GF78" s="69"/>
      <c r="GG78" s="69"/>
      <c r="GH78" s="69"/>
      <c r="GI78" s="69"/>
      <c r="GJ78" s="69"/>
      <c r="GK78" s="69"/>
      <c r="GL78" s="69"/>
      <c r="GM78" s="69"/>
      <c r="GN78" s="69"/>
      <c r="GO78" s="69"/>
      <c r="GP78" s="69"/>
      <c r="GQ78" s="69"/>
      <c r="GR78" s="69"/>
      <c r="GS78" s="69"/>
      <c r="GT78" s="69"/>
      <c r="GU78" s="69"/>
      <c r="GV78" s="69"/>
      <c r="GW78" s="69"/>
      <c r="GX78" s="69"/>
      <c r="GY78" s="69"/>
      <c r="GZ78" s="69"/>
    </row>
    <row r="79" spans="5:208" s="68" customFormat="1" ht="5.0999999999999996" customHeight="1" x14ac:dyDescent="0.2">
      <c r="E79" s="1063"/>
      <c r="F79" s="1063"/>
      <c r="G79" s="1063"/>
      <c r="H79" s="1063"/>
      <c r="I79" s="1063"/>
      <c r="J79" s="1063"/>
      <c r="K79" s="1063"/>
      <c r="L79" s="1063"/>
      <c r="M79" s="1063"/>
      <c r="N79" s="1063"/>
      <c r="O79" s="1063"/>
      <c r="P79" s="1063"/>
      <c r="Q79" s="81"/>
      <c r="R79" s="225"/>
      <c r="S79" s="1060"/>
      <c r="T79" s="1060"/>
      <c r="U79" s="1060"/>
      <c r="V79" s="1060"/>
      <c r="W79" s="1060"/>
      <c r="X79" s="1060"/>
      <c r="Y79" s="1060"/>
      <c r="Z79" s="1060"/>
      <c r="AA79" s="1060"/>
      <c r="AB79" s="1060"/>
      <c r="AC79" s="1060"/>
      <c r="AD79" s="1060"/>
      <c r="AE79" s="1060"/>
      <c r="AF79" s="1060"/>
      <c r="AG79" s="1060"/>
      <c r="AH79" s="1060"/>
      <c r="AI79" s="1060"/>
      <c r="AJ79" s="1060"/>
      <c r="AK79" s="1060"/>
      <c r="AL79" s="1060"/>
      <c r="AM79" s="1060"/>
      <c r="AN79" s="1060"/>
      <c r="AO79" s="1060"/>
      <c r="AP79" s="1060"/>
      <c r="AQ79" s="1060"/>
      <c r="AR79" s="1060"/>
      <c r="AS79" s="1060"/>
      <c r="AT79" s="1060"/>
      <c r="AU79" s="1060"/>
      <c r="AV79" s="1060"/>
      <c r="AW79" s="1060"/>
      <c r="AX79" s="1060"/>
      <c r="AY79" s="1060"/>
      <c r="AZ79" s="1060"/>
      <c r="BA79" s="1060"/>
      <c r="BB79" s="1060"/>
      <c r="BC79" s="70"/>
      <c r="BD79" s="961"/>
      <c r="BE79" s="961"/>
      <c r="BF79" s="961"/>
      <c r="BG79" s="961"/>
      <c r="BH79" s="961"/>
      <c r="BI79" s="961"/>
      <c r="BJ79" s="961"/>
      <c r="BK79" s="961"/>
      <c r="BL79" s="961"/>
      <c r="BM79" s="70"/>
      <c r="BN79" s="70"/>
      <c r="BO79" s="70"/>
      <c r="BP79" s="70"/>
      <c r="BQ79" s="70"/>
      <c r="BR79" s="70"/>
      <c r="BS79" s="70"/>
      <c r="BT79" s="70"/>
      <c r="BU79" s="70"/>
      <c r="BV79" s="70"/>
      <c r="BW79" s="70"/>
      <c r="BX79" s="70"/>
      <c r="BY79" s="70"/>
      <c r="BZ79" s="70"/>
      <c r="CA79" s="70"/>
      <c r="CB79" s="70"/>
      <c r="CC79" s="70"/>
      <c r="CD79" s="70"/>
      <c r="CE79" s="70"/>
      <c r="CF79" s="70"/>
      <c r="CG79" s="70"/>
      <c r="CH79" s="961"/>
      <c r="CI79" s="961"/>
      <c r="CJ79" s="961"/>
      <c r="CK79" s="961"/>
      <c r="CL79" s="961"/>
      <c r="CM79" s="961"/>
      <c r="CN79" s="961"/>
      <c r="CO79" s="961"/>
      <c r="CP79" s="961"/>
      <c r="CQ79" s="961"/>
      <c r="CR79" s="961"/>
      <c r="CS79" s="961"/>
      <c r="CT79" s="70"/>
      <c r="CU79" s="961"/>
      <c r="CV79" s="961"/>
      <c r="CW79" s="961"/>
      <c r="CX79" s="961"/>
      <c r="CY79" s="961"/>
      <c r="CZ79" s="961"/>
      <c r="DA79" s="961"/>
      <c r="DB79" s="961"/>
      <c r="DC79" s="961"/>
      <c r="DD79" s="961"/>
      <c r="DE79" s="961"/>
      <c r="DF79" s="96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70"/>
      <c r="FK79" s="70"/>
      <c r="FL79" s="70"/>
      <c r="FM79" s="70"/>
      <c r="FN79" s="70"/>
      <c r="FO79" s="70"/>
      <c r="FP79" s="70"/>
      <c r="FQ79" s="70"/>
      <c r="FR79" s="70"/>
      <c r="FS79" s="70"/>
      <c r="FT79" s="69"/>
      <c r="FU79" s="69"/>
      <c r="FV79" s="69"/>
      <c r="FW79" s="69"/>
      <c r="FX79" s="69"/>
      <c r="FY79" s="69"/>
      <c r="FZ79" s="69"/>
      <c r="GA79" s="69"/>
      <c r="GB79" s="69"/>
      <c r="GC79" s="69"/>
      <c r="GD79" s="69"/>
      <c r="GE79" s="69"/>
      <c r="GF79" s="69"/>
      <c r="GG79" s="69"/>
      <c r="GH79" s="69"/>
      <c r="GI79" s="69"/>
      <c r="GJ79" s="69"/>
      <c r="GK79" s="69"/>
      <c r="GL79" s="69"/>
      <c r="GM79" s="69"/>
      <c r="GN79" s="69"/>
      <c r="GO79" s="69"/>
      <c r="GP79" s="69"/>
      <c r="GQ79" s="69"/>
      <c r="GR79" s="69"/>
      <c r="GS79" s="69"/>
      <c r="GT79" s="69"/>
      <c r="GU79" s="69"/>
      <c r="GV79" s="69"/>
      <c r="GW79" s="69"/>
      <c r="GX79" s="69"/>
      <c r="GY79" s="69"/>
      <c r="GZ79" s="69"/>
    </row>
    <row r="80" spans="5:208" s="68" customFormat="1" ht="20.100000000000001" customHeight="1" x14ac:dyDescent="0.2">
      <c r="E80" s="1063"/>
      <c r="F80" s="1063"/>
      <c r="G80" s="1063"/>
      <c r="H80" s="1063"/>
      <c r="I80" s="1063"/>
      <c r="J80" s="1063"/>
      <c r="K80" s="1063"/>
      <c r="L80" s="1063"/>
      <c r="M80" s="1063"/>
      <c r="N80" s="1063"/>
      <c r="O80" s="1063"/>
      <c r="P80" s="1063"/>
      <c r="Q80" s="81"/>
      <c r="R80" s="225"/>
      <c r="S80" s="1055" t="s">
        <v>27</v>
      </c>
      <c r="T80" s="1055"/>
      <c r="U80" s="1055"/>
      <c r="V80" s="1055"/>
      <c r="W80" s="1055"/>
      <c r="X80" s="1055"/>
      <c r="Y80" s="1055"/>
      <c r="Z80" s="1055"/>
      <c r="AA80" s="1055"/>
      <c r="AB80" s="1055"/>
      <c r="AC80" s="1055"/>
      <c r="AD80" s="1055"/>
      <c r="AE80" s="1055"/>
      <c r="AF80" s="1055"/>
      <c r="AG80" s="1055"/>
      <c r="AH80" s="1055"/>
      <c r="AI80" s="1055"/>
      <c r="AJ80" s="1055"/>
      <c r="AK80" s="1055"/>
      <c r="AL80" s="1055"/>
      <c r="AM80" s="1055"/>
      <c r="AN80" s="1055"/>
      <c r="AO80" s="1055"/>
      <c r="AP80" s="1055"/>
      <c r="AQ80" s="1055"/>
      <c r="AR80" s="1055"/>
      <c r="AS80" s="1055"/>
      <c r="AT80" s="1055"/>
      <c r="AU80" s="1055"/>
      <c r="AV80" s="1055"/>
      <c r="AW80" s="1055"/>
      <c r="AX80" s="1055"/>
      <c r="AY80" s="1055"/>
      <c r="AZ80" s="1055"/>
      <c r="BA80" s="1055"/>
      <c r="BB80" s="1055"/>
      <c r="BC80" s="1055"/>
      <c r="BD80" s="1055"/>
      <c r="BE80" s="1055"/>
      <c r="BF80" s="1055"/>
      <c r="BG80" s="1055"/>
      <c r="BH80" s="1055"/>
      <c r="BI80" s="1055"/>
      <c r="BJ80" s="1055"/>
      <c r="BK80" s="1055"/>
      <c r="BL80" s="1055"/>
      <c r="BM80" s="1055"/>
      <c r="BN80" s="1055"/>
      <c r="BO80" s="1055"/>
      <c r="BP80" s="1055"/>
      <c r="BQ80" s="1055"/>
      <c r="BR80" s="1055"/>
      <c r="BS80" s="1055"/>
      <c r="BT80" s="1055"/>
      <c r="BU80" s="1055"/>
      <c r="BV80" s="1056"/>
      <c r="BW80" s="1047">
        <f>'CH Equipe'!AT118</f>
        <v>1</v>
      </c>
      <c r="BX80" s="1044"/>
      <c r="BY80" s="1044"/>
      <c r="BZ80" s="1044"/>
      <c r="CA80" s="1044"/>
      <c r="CB80" s="1044"/>
      <c r="CC80" s="1044"/>
      <c r="CD80" s="1044"/>
      <c r="CE80" s="1044"/>
      <c r="CF80" s="70"/>
      <c r="CG80" s="70"/>
      <c r="CH80" s="961"/>
      <c r="CI80" s="961"/>
      <c r="CJ80" s="961"/>
      <c r="CK80" s="961"/>
      <c r="CL80" s="961"/>
      <c r="CM80" s="961"/>
      <c r="CN80" s="961"/>
      <c r="CO80" s="961"/>
      <c r="CP80" s="961"/>
      <c r="CQ80" s="961"/>
      <c r="CR80" s="961"/>
      <c r="CS80" s="961"/>
      <c r="CT80" s="70"/>
      <c r="CU80" s="1057">
        <f>SUM('[1]CH Equipe'!AU123:BC123)</f>
        <v>0</v>
      </c>
      <c r="CV80" s="1058"/>
      <c r="CW80" s="1058"/>
      <c r="CX80" s="1058"/>
      <c r="CY80" s="1058"/>
      <c r="CZ80" s="1058"/>
      <c r="DA80" s="1058"/>
      <c r="DB80" s="1058"/>
      <c r="DC80" s="1058"/>
      <c r="DD80" s="1058"/>
      <c r="DE80" s="1058"/>
      <c r="DF80" s="1059"/>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70"/>
      <c r="FK80" s="70"/>
      <c r="FL80" s="70"/>
      <c r="FM80" s="70"/>
      <c r="FN80" s="70"/>
      <c r="FO80" s="70"/>
      <c r="FP80" s="70"/>
      <c r="FQ80" s="70"/>
      <c r="FR80" s="70"/>
      <c r="FS80" s="70"/>
      <c r="FT80" s="69"/>
      <c r="FU80" s="69"/>
      <c r="FV80" s="69"/>
      <c r="FW80" s="69"/>
      <c r="FX80" s="69"/>
      <c r="FY80" s="69"/>
      <c r="FZ80" s="69"/>
      <c r="GA80" s="69"/>
      <c r="GB80" s="69"/>
      <c r="GC80" s="69"/>
      <c r="GD80" s="69"/>
      <c r="GE80" s="69"/>
      <c r="GF80" s="69"/>
      <c r="GG80" s="69"/>
      <c r="GH80" s="69"/>
      <c r="GI80" s="69"/>
      <c r="GJ80" s="69"/>
      <c r="GK80" s="69"/>
      <c r="GL80" s="69"/>
      <c r="GM80" s="69"/>
      <c r="GN80" s="69"/>
      <c r="GO80" s="69"/>
      <c r="GP80" s="69"/>
      <c r="GQ80" s="69"/>
      <c r="GR80" s="69"/>
      <c r="GS80" s="69"/>
      <c r="GT80" s="69"/>
      <c r="GU80" s="69"/>
      <c r="GV80" s="69"/>
      <c r="GW80" s="69"/>
      <c r="GX80" s="69"/>
      <c r="GY80" s="69"/>
      <c r="GZ80" s="69"/>
    </row>
    <row r="81" spans="5:209" s="68" customFormat="1" ht="5.0999999999999996" customHeight="1" x14ac:dyDescent="0.2">
      <c r="E81" s="1063"/>
      <c r="F81" s="1063"/>
      <c r="G81" s="1063"/>
      <c r="H81" s="1063"/>
      <c r="I81" s="1063"/>
      <c r="J81" s="1063"/>
      <c r="K81" s="1063"/>
      <c r="L81" s="1063"/>
      <c r="M81" s="1063"/>
      <c r="N81" s="1063"/>
      <c r="O81" s="1063"/>
      <c r="P81" s="1063"/>
      <c r="Q81" s="81"/>
      <c r="R81" s="225"/>
      <c r="S81" s="1060"/>
      <c r="T81" s="1060"/>
      <c r="U81" s="1060"/>
      <c r="V81" s="1060"/>
      <c r="W81" s="1060"/>
      <c r="X81" s="1060"/>
      <c r="Y81" s="1060"/>
      <c r="Z81" s="1060"/>
      <c r="AA81" s="1060"/>
      <c r="AB81" s="1060"/>
      <c r="AC81" s="1060"/>
      <c r="AD81" s="1060"/>
      <c r="AE81" s="1060"/>
      <c r="AF81" s="1060"/>
      <c r="AG81" s="1060"/>
      <c r="AH81" s="1060"/>
      <c r="AI81" s="1060"/>
      <c r="AJ81" s="1060"/>
      <c r="AK81" s="1060"/>
      <c r="AL81" s="1060"/>
      <c r="AM81" s="1060"/>
      <c r="AN81" s="1060"/>
      <c r="AO81" s="1060"/>
      <c r="AP81" s="1060"/>
      <c r="AQ81" s="1060"/>
      <c r="AR81" s="1060"/>
      <c r="AS81" s="1060"/>
      <c r="AT81" s="1060"/>
      <c r="AU81" s="1060"/>
      <c r="AV81" s="1060"/>
      <c r="AW81" s="1060"/>
      <c r="AX81" s="1060"/>
      <c r="AY81" s="1060"/>
      <c r="AZ81" s="1060"/>
      <c r="BA81" s="1060"/>
      <c r="BB81" s="1060"/>
      <c r="BC81" s="70"/>
      <c r="BD81" s="961"/>
      <c r="BE81" s="961"/>
      <c r="BF81" s="961"/>
      <c r="BG81" s="961"/>
      <c r="BH81" s="961"/>
      <c r="BI81" s="961"/>
      <c r="BJ81" s="961"/>
      <c r="BK81" s="961"/>
      <c r="BL81" s="961"/>
      <c r="BM81" s="70"/>
      <c r="BN81" s="70"/>
      <c r="BO81" s="70"/>
      <c r="BP81" s="70"/>
      <c r="BQ81" s="70"/>
      <c r="BR81" s="70"/>
      <c r="BS81" s="70"/>
      <c r="BT81" s="70"/>
      <c r="BU81" s="70"/>
      <c r="BV81" s="70"/>
      <c r="BW81" s="70"/>
      <c r="BX81" s="70"/>
      <c r="BY81" s="70"/>
      <c r="BZ81" s="70"/>
      <c r="CA81" s="70"/>
      <c r="CB81" s="70"/>
      <c r="CC81" s="70"/>
      <c r="CD81" s="70"/>
      <c r="CE81" s="70"/>
      <c r="CF81" s="70"/>
      <c r="CG81" s="70"/>
      <c r="CH81" s="961"/>
      <c r="CI81" s="961"/>
      <c r="CJ81" s="961"/>
      <c r="CK81" s="961"/>
      <c r="CL81" s="961"/>
      <c r="CM81" s="961"/>
      <c r="CN81" s="961"/>
      <c r="CO81" s="961"/>
      <c r="CP81" s="961"/>
      <c r="CQ81" s="961"/>
      <c r="CR81" s="961"/>
      <c r="CS81" s="961"/>
      <c r="CT81" s="70"/>
      <c r="CU81" s="1062"/>
      <c r="CV81" s="1062"/>
      <c r="CW81" s="1062"/>
      <c r="CX81" s="1062"/>
      <c r="CY81" s="1062"/>
      <c r="CZ81" s="1062"/>
      <c r="DA81" s="1062"/>
      <c r="DB81" s="1062"/>
      <c r="DC81" s="1062"/>
      <c r="DD81" s="1062"/>
      <c r="DE81" s="1062"/>
      <c r="DF81" s="1062"/>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70"/>
      <c r="FK81" s="70"/>
      <c r="FL81" s="70"/>
      <c r="FM81" s="70"/>
      <c r="FN81" s="70"/>
      <c r="FO81" s="70"/>
      <c r="FP81" s="70"/>
      <c r="FQ81" s="70"/>
      <c r="FR81" s="70"/>
      <c r="FS81" s="70"/>
      <c r="FT81" s="69"/>
      <c r="FU81" s="69"/>
      <c r="FV81" s="69"/>
      <c r="FW81" s="69"/>
      <c r="FX81" s="69"/>
      <c r="FY81" s="69"/>
      <c r="FZ81" s="69"/>
      <c r="GA81" s="69"/>
      <c r="GB81" s="69"/>
      <c r="GC81" s="69"/>
      <c r="GD81" s="69"/>
      <c r="GE81" s="69"/>
      <c r="GF81" s="69"/>
      <c r="GG81" s="69"/>
      <c r="GH81" s="69"/>
      <c r="GI81" s="69"/>
      <c r="GJ81" s="69"/>
      <c r="GK81" s="69"/>
      <c r="GL81" s="69"/>
      <c r="GM81" s="69"/>
      <c r="GN81" s="69"/>
      <c r="GO81" s="69"/>
      <c r="GP81" s="69"/>
      <c r="GQ81" s="69"/>
      <c r="GR81" s="69"/>
      <c r="GS81" s="69"/>
      <c r="GT81" s="69"/>
      <c r="GU81" s="69"/>
      <c r="GV81" s="69"/>
      <c r="GW81" s="69"/>
      <c r="GX81" s="69"/>
      <c r="GY81" s="69"/>
      <c r="GZ81" s="69"/>
    </row>
    <row r="82" spans="5:209" s="68" customFormat="1" ht="20.100000000000001" customHeight="1" x14ac:dyDescent="0.2">
      <c r="E82" s="1063"/>
      <c r="F82" s="1063"/>
      <c r="G82" s="1063"/>
      <c r="H82" s="1063"/>
      <c r="I82" s="1063"/>
      <c r="J82" s="1063"/>
      <c r="K82" s="1063"/>
      <c r="L82" s="1063"/>
      <c r="M82" s="1063"/>
      <c r="N82" s="1063"/>
      <c r="O82" s="1063"/>
      <c r="P82" s="1063"/>
      <c r="Q82" s="81"/>
      <c r="R82" s="225"/>
      <c r="S82" s="1055" t="s">
        <v>668</v>
      </c>
      <c r="T82" s="1055"/>
      <c r="U82" s="1055"/>
      <c r="V82" s="1055"/>
      <c r="W82" s="1055"/>
      <c r="X82" s="1055"/>
      <c r="Y82" s="1055"/>
      <c r="Z82" s="1055"/>
      <c r="AA82" s="1055"/>
      <c r="AB82" s="1055"/>
      <c r="AC82" s="1055"/>
      <c r="AD82" s="1055"/>
      <c r="AE82" s="1055"/>
      <c r="AF82" s="1055"/>
      <c r="AG82" s="1055"/>
      <c r="AH82" s="1055"/>
      <c r="AI82" s="1055"/>
      <c r="AJ82" s="1055"/>
      <c r="AK82" s="1055"/>
      <c r="AL82" s="1055"/>
      <c r="AM82" s="1055"/>
      <c r="AN82" s="1055"/>
      <c r="AO82" s="1055"/>
      <c r="AP82" s="1055"/>
      <c r="AQ82" s="1055"/>
      <c r="AR82" s="1055"/>
      <c r="AS82" s="1055"/>
      <c r="AT82" s="1055"/>
      <c r="AU82" s="1055"/>
      <c r="AV82" s="1055"/>
      <c r="AW82" s="1055"/>
      <c r="AX82" s="1055"/>
      <c r="AY82" s="1055"/>
      <c r="AZ82" s="1055"/>
      <c r="BA82" s="1055"/>
      <c r="BB82" s="1055"/>
      <c r="BC82" s="1055"/>
      <c r="BD82" s="1055"/>
      <c r="BE82" s="1055"/>
      <c r="BF82" s="1055"/>
      <c r="BG82" s="1055"/>
      <c r="BH82" s="1055"/>
      <c r="BI82" s="1055"/>
      <c r="BJ82" s="1055"/>
      <c r="BK82" s="1055"/>
      <c r="BL82" s="1055"/>
      <c r="BM82" s="1055"/>
      <c r="BN82" s="1055"/>
      <c r="BO82" s="1055"/>
      <c r="BP82" s="1055"/>
      <c r="BQ82" s="1055"/>
      <c r="BR82" s="1055"/>
      <c r="BS82" s="1055"/>
      <c r="BT82" s="1055"/>
      <c r="BU82" s="1055"/>
      <c r="BV82" s="1056"/>
      <c r="BW82" s="1047">
        <f>'CH Equipe'!BD118</f>
        <v>4</v>
      </c>
      <c r="BX82" s="1044"/>
      <c r="BY82" s="1044"/>
      <c r="BZ82" s="1044"/>
      <c r="CA82" s="1044"/>
      <c r="CB82" s="1044"/>
      <c r="CC82" s="1044"/>
      <c r="CD82" s="1044"/>
      <c r="CE82" s="1044"/>
      <c r="CF82" s="70"/>
      <c r="CG82" s="70"/>
      <c r="CH82" s="961"/>
      <c r="CI82" s="961"/>
      <c r="CJ82" s="961"/>
      <c r="CK82" s="961"/>
      <c r="CL82" s="961"/>
      <c r="CM82" s="961"/>
      <c r="CN82" s="961"/>
      <c r="CO82" s="961"/>
      <c r="CP82" s="961"/>
      <c r="CQ82" s="961"/>
      <c r="CR82" s="961"/>
      <c r="CS82" s="961"/>
      <c r="CT82" s="70"/>
      <c r="CU82" s="1057">
        <f>SUM('[1]CH Equipe'!BE123:BM123)</f>
        <v>0</v>
      </c>
      <c r="CV82" s="1058"/>
      <c r="CW82" s="1058"/>
      <c r="CX82" s="1058"/>
      <c r="CY82" s="1058"/>
      <c r="CZ82" s="1058"/>
      <c r="DA82" s="1058"/>
      <c r="DB82" s="1058"/>
      <c r="DC82" s="1058"/>
      <c r="DD82" s="1058"/>
      <c r="DE82" s="1058"/>
      <c r="DF82" s="1059"/>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70"/>
      <c r="FK82" s="70"/>
      <c r="FL82" s="70"/>
      <c r="FM82" s="70"/>
      <c r="FN82" s="70"/>
      <c r="FO82" s="70"/>
      <c r="FP82" s="70"/>
      <c r="FQ82" s="70"/>
      <c r="FR82" s="70"/>
      <c r="FS82" s="70"/>
      <c r="FT82" s="69"/>
      <c r="FU82" s="69"/>
      <c r="FV82" s="69"/>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row>
    <row r="83" spans="5:209" s="68" customFormat="1" ht="13.5" customHeight="1" thickBot="1" x14ac:dyDescent="0.25">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70"/>
      <c r="CU83" s="47"/>
      <c r="CV83" s="47"/>
      <c r="CW83" s="47"/>
      <c r="CX83" s="47"/>
      <c r="CY83" s="47"/>
      <c r="CZ83" s="47"/>
      <c r="DA83" s="47"/>
      <c r="DB83" s="47"/>
      <c r="DC83" s="47"/>
      <c r="DD83" s="47"/>
      <c r="DE83" s="47"/>
      <c r="DF83" s="47"/>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47"/>
      <c r="FK83" s="47"/>
      <c r="FL83" s="47"/>
      <c r="FM83" s="47"/>
      <c r="FN83" s="47"/>
      <c r="FO83" s="47"/>
      <c r="FP83" s="47"/>
      <c r="FQ83" s="47"/>
      <c r="FR83" s="47"/>
      <c r="FS83" s="47"/>
      <c r="FT83" s="47"/>
      <c r="FU83" s="47"/>
      <c r="FV83" s="47"/>
      <c r="FW83" s="47"/>
      <c r="FX83" s="47"/>
      <c r="FY83" s="47"/>
      <c r="FZ83" s="47"/>
      <c r="GA83" s="47"/>
      <c r="GB83" s="47"/>
      <c r="GC83" s="47"/>
      <c r="GD83" s="47"/>
      <c r="GE83" s="47"/>
      <c r="GF83" s="47"/>
      <c r="GG83" s="47"/>
      <c r="GH83" s="47"/>
      <c r="GI83" s="47"/>
      <c r="GJ83" s="47"/>
      <c r="GK83" s="47"/>
      <c r="GL83" s="47"/>
      <c r="GM83" s="47"/>
      <c r="GN83" s="47"/>
      <c r="GO83" s="47"/>
      <c r="GP83" s="47"/>
      <c r="GQ83" s="47"/>
      <c r="GR83" s="47"/>
      <c r="GS83" s="47"/>
      <c r="GT83" s="47"/>
      <c r="GU83" s="47"/>
      <c r="GV83" s="47"/>
      <c r="GW83" s="47"/>
      <c r="GX83" s="47"/>
      <c r="GY83" s="47"/>
      <c r="GZ83" s="47"/>
    </row>
    <row r="84" spans="5:209" s="68" customFormat="1" ht="13.5" customHeight="1" thickTop="1" x14ac:dyDescent="0.2">
      <c r="E84" s="226"/>
      <c r="F84" s="226"/>
      <c r="G84" s="226"/>
      <c r="H84" s="226"/>
      <c r="I84" s="226"/>
      <c r="J84" s="226"/>
      <c r="K84" s="226"/>
      <c r="L84" s="226"/>
      <c r="M84" s="226"/>
      <c r="N84" s="226"/>
      <c r="O84" s="226"/>
      <c r="P84" s="226"/>
      <c r="Q84" s="226"/>
      <c r="R84" s="226"/>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7"/>
      <c r="BD84" s="227"/>
      <c r="BE84" s="227"/>
      <c r="BF84" s="227"/>
      <c r="BG84" s="227"/>
      <c r="BH84" s="227"/>
      <c r="BI84" s="227"/>
      <c r="BJ84" s="227"/>
      <c r="BK84" s="227"/>
      <c r="BL84" s="227"/>
      <c r="BM84" s="227"/>
      <c r="BN84" s="227"/>
      <c r="BO84" s="227"/>
      <c r="BP84" s="227"/>
      <c r="BQ84" s="227"/>
      <c r="BR84" s="227"/>
      <c r="BS84" s="227"/>
      <c r="BT84" s="227"/>
      <c r="BU84" s="227"/>
      <c r="BV84" s="227"/>
      <c r="BW84" s="227"/>
      <c r="BX84" s="227"/>
      <c r="BY84" s="227"/>
      <c r="BZ84" s="227"/>
      <c r="CA84" s="227"/>
      <c r="CB84" s="227"/>
      <c r="CC84" s="227"/>
      <c r="CD84" s="227"/>
      <c r="CE84" s="227"/>
      <c r="CF84" s="47"/>
      <c r="CG84" s="47"/>
      <c r="CH84" s="47"/>
      <c r="CI84" s="47"/>
      <c r="CJ84" s="47"/>
      <c r="CK84" s="47"/>
      <c r="CL84" s="47"/>
      <c r="CM84" s="47"/>
      <c r="CN84" s="47"/>
      <c r="CO84" s="47"/>
      <c r="CP84" s="47"/>
      <c r="CQ84" s="47"/>
      <c r="CR84" s="47"/>
      <c r="CS84" s="47"/>
      <c r="CT84" s="70"/>
      <c r="CU84" s="47"/>
      <c r="CV84" s="47"/>
      <c r="CW84" s="47"/>
      <c r="CX84" s="47"/>
      <c r="CY84" s="47"/>
      <c r="CZ84" s="47"/>
      <c r="DA84" s="47"/>
      <c r="DB84" s="47"/>
      <c r="DC84" s="47"/>
      <c r="DD84" s="47"/>
      <c r="DE84" s="47"/>
      <c r="DF84" s="47"/>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row>
    <row r="85" spans="5:209" s="68" customFormat="1" ht="41.25" customHeight="1" x14ac:dyDescent="0.2">
      <c r="E85" s="1054" t="s">
        <v>659</v>
      </c>
      <c r="F85" s="1054"/>
      <c r="G85" s="1054"/>
      <c r="H85" s="1054"/>
      <c r="I85" s="1054"/>
      <c r="J85" s="1054"/>
      <c r="K85" s="1054"/>
      <c r="L85" s="1054"/>
      <c r="M85" s="1054"/>
      <c r="N85" s="1054"/>
      <c r="O85" s="1054"/>
      <c r="P85" s="1054"/>
      <c r="S85" s="1063" t="s">
        <v>660</v>
      </c>
      <c r="T85" s="1063"/>
      <c r="U85" s="1063"/>
      <c r="V85" s="1063"/>
      <c r="W85" s="1063"/>
      <c r="X85" s="1063"/>
      <c r="Y85" s="1063"/>
      <c r="Z85" s="1063"/>
      <c r="AA85" s="1063"/>
      <c r="AB85" s="1063"/>
      <c r="AC85" s="1063"/>
      <c r="AD85" s="1063"/>
      <c r="AE85" s="1063"/>
      <c r="AF85" s="1063"/>
      <c r="AG85" s="1063"/>
      <c r="AH85" s="1063"/>
      <c r="AI85" s="1063"/>
      <c r="AJ85" s="1063"/>
      <c r="AK85" s="1063"/>
      <c r="AL85" s="1063"/>
      <c r="AM85" s="1063"/>
      <c r="AN85" s="1063"/>
      <c r="AO85" s="1063"/>
      <c r="AP85" s="1063"/>
      <c r="AQ85" s="1063"/>
      <c r="AR85" s="1063"/>
      <c r="AS85" s="1063"/>
      <c r="AT85" s="1063"/>
      <c r="AU85" s="1063"/>
      <c r="AV85" s="1063"/>
      <c r="AW85" s="1063"/>
      <c r="AX85" s="1063"/>
      <c r="AY85" s="1063"/>
      <c r="AZ85" s="1063"/>
      <c r="BA85" s="1063"/>
      <c r="BB85" s="1063"/>
      <c r="BC85" s="70"/>
      <c r="BD85" s="1063" t="s">
        <v>670</v>
      </c>
      <c r="BE85" s="1063"/>
      <c r="BF85" s="1063"/>
      <c r="BG85" s="1063"/>
      <c r="BH85" s="1063"/>
      <c r="BI85" s="1063"/>
      <c r="BJ85" s="1063"/>
      <c r="BK85" s="1063"/>
      <c r="BL85" s="1063"/>
      <c r="BM85" s="70"/>
      <c r="BN85" s="1063" t="s">
        <v>661</v>
      </c>
      <c r="BO85" s="1063"/>
      <c r="BP85" s="1063"/>
      <c r="BQ85" s="1063"/>
      <c r="BR85" s="1063"/>
      <c r="BS85" s="1063"/>
      <c r="BT85" s="1063"/>
      <c r="BU85" s="1063"/>
      <c r="BV85" s="1063"/>
      <c r="BW85" s="1063" t="s">
        <v>662</v>
      </c>
      <c r="BX85" s="1063"/>
      <c r="BY85" s="1063"/>
      <c r="BZ85" s="1063"/>
      <c r="CA85" s="1063"/>
      <c r="CB85" s="1063"/>
      <c r="CC85" s="1063"/>
      <c r="CD85" s="1063"/>
      <c r="CE85" s="1063"/>
      <c r="CF85" s="76"/>
      <c r="CG85" s="70"/>
      <c r="CH85" s="1052" t="s">
        <v>671</v>
      </c>
      <c r="CI85" s="1052"/>
      <c r="CJ85" s="1052"/>
      <c r="CK85" s="1052"/>
      <c r="CL85" s="1052"/>
      <c r="CM85" s="1052"/>
      <c r="CN85" s="1052"/>
      <c r="CO85" s="1052"/>
      <c r="CP85" s="1052"/>
      <c r="CQ85" s="1052"/>
      <c r="CR85" s="1052"/>
      <c r="CS85" s="1053"/>
      <c r="CT85" s="70"/>
      <c r="CU85" s="1052" t="s">
        <v>672</v>
      </c>
      <c r="CV85" s="1052"/>
      <c r="CW85" s="1052"/>
      <c r="CX85" s="1052"/>
      <c r="CY85" s="1052"/>
      <c r="CZ85" s="1052"/>
      <c r="DA85" s="1052"/>
      <c r="DB85" s="1052"/>
      <c r="DC85" s="1052"/>
      <c r="DD85" s="1052"/>
      <c r="DE85" s="1052"/>
      <c r="DF85" s="1053"/>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941"/>
      <c r="FK85" s="941"/>
      <c r="FL85" s="941"/>
      <c r="FM85" s="941"/>
      <c r="FN85" s="941"/>
      <c r="FO85" s="941"/>
      <c r="FP85" s="941"/>
      <c r="FQ85" s="941"/>
      <c r="FR85" s="941"/>
      <c r="FS85" s="941"/>
      <c r="FT85" s="75"/>
      <c r="FU85" s="75"/>
      <c r="FV85" s="75"/>
      <c r="FW85" s="75"/>
      <c r="FX85" s="75"/>
      <c r="FY85" s="75"/>
      <c r="FZ85" s="75"/>
      <c r="GA85" s="75"/>
      <c r="GB85" s="75"/>
      <c r="GC85" s="75"/>
      <c r="GD85" s="941"/>
      <c r="GE85" s="941"/>
      <c r="GF85" s="76"/>
      <c r="GG85" s="76"/>
      <c r="GH85" s="76"/>
      <c r="GI85" s="76"/>
      <c r="GJ85" s="76"/>
      <c r="GK85" s="76"/>
      <c r="GL85" s="76"/>
      <c r="GM85" s="76"/>
      <c r="GN85" s="76"/>
      <c r="GO85" s="941"/>
      <c r="GP85" s="941"/>
      <c r="GQ85" s="76"/>
      <c r="GR85" s="76"/>
      <c r="GS85" s="76"/>
      <c r="GT85" s="76"/>
      <c r="GU85" s="76"/>
      <c r="GV85" s="76"/>
      <c r="GW85" s="76"/>
      <c r="GX85" s="76"/>
      <c r="GY85" s="941"/>
      <c r="GZ85" s="941"/>
      <c r="HA85" s="66"/>
    </row>
    <row r="86" spans="5:209" s="68" customFormat="1" ht="13.5" customHeight="1" x14ac:dyDescent="0.2">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70"/>
      <c r="CU86" s="47"/>
      <c r="CV86" s="47"/>
      <c r="CW86" s="47"/>
      <c r="CX86" s="47"/>
      <c r="CY86" s="47"/>
      <c r="CZ86" s="47"/>
      <c r="DA86" s="47"/>
      <c r="DB86" s="47"/>
      <c r="DC86" s="47"/>
      <c r="DD86" s="47"/>
      <c r="DE86" s="47"/>
      <c r="DF86" s="47"/>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row>
    <row r="87" spans="5:209" s="68" customFormat="1" ht="20.100000000000001" customHeight="1" x14ac:dyDescent="0.2">
      <c r="E87" s="1063" t="s">
        <v>3</v>
      </c>
      <c r="F87" s="1063"/>
      <c r="G87" s="1063"/>
      <c r="H87" s="1063"/>
      <c r="I87" s="1063"/>
      <c r="J87" s="1063"/>
      <c r="K87" s="1063"/>
      <c r="L87" s="1063"/>
      <c r="M87" s="1063"/>
      <c r="N87" s="1063"/>
      <c r="O87" s="1063"/>
      <c r="P87" s="1063"/>
      <c r="Q87" s="78"/>
      <c r="R87" s="225"/>
      <c r="S87" s="1070" t="s">
        <v>663</v>
      </c>
      <c r="T87" s="1070"/>
      <c r="U87" s="1070"/>
      <c r="V87" s="1070"/>
      <c r="W87" s="1055" t="s">
        <v>6</v>
      </c>
      <c r="X87" s="1055"/>
      <c r="Y87" s="1055"/>
      <c r="Z87" s="1055"/>
      <c r="AA87" s="1055"/>
      <c r="AB87" s="1055"/>
      <c r="AC87" s="1055"/>
      <c r="AD87" s="1055"/>
      <c r="AE87" s="1055"/>
      <c r="AF87" s="1055"/>
      <c r="AG87" s="1055"/>
      <c r="AH87" s="1055"/>
      <c r="AI87" s="1055"/>
      <c r="AJ87" s="1055"/>
      <c r="AK87" s="1055"/>
      <c r="AL87" s="1055" t="s">
        <v>669</v>
      </c>
      <c r="AM87" s="1055"/>
      <c r="AN87" s="1055"/>
      <c r="AO87" s="1055"/>
      <c r="AP87" s="1055"/>
      <c r="AQ87" s="1055"/>
      <c r="AR87" s="1055"/>
      <c r="AS87" s="1055"/>
      <c r="AT87" s="1055"/>
      <c r="AU87" s="1055"/>
      <c r="AV87" s="1055"/>
      <c r="AW87" s="1055"/>
      <c r="AX87" s="1055"/>
      <c r="AY87" s="1055"/>
      <c r="AZ87" s="1055"/>
      <c r="BA87" s="1055"/>
      <c r="BB87" s="1055"/>
      <c r="BC87" s="70"/>
      <c r="BD87" s="1044">
        <f>'CH Equipe'!BJ99</f>
        <v>40</v>
      </c>
      <c r="BE87" s="1044"/>
      <c r="BF87" s="1044"/>
      <c r="BG87" s="1044"/>
      <c r="BH87" s="1044"/>
      <c r="BI87" s="1044"/>
      <c r="BJ87" s="1044"/>
      <c r="BK87" s="1044"/>
      <c r="BL87" s="1044"/>
      <c r="BM87" s="70"/>
      <c r="BN87" s="1044">
        <f>'CH Equipe'!BJ14</f>
        <v>180</v>
      </c>
      <c r="BO87" s="1044"/>
      <c r="BP87" s="1044"/>
      <c r="BQ87" s="1044"/>
      <c r="BR87" s="1044"/>
      <c r="BS87" s="1044"/>
      <c r="BT87" s="1044"/>
      <c r="BU87" s="1044"/>
      <c r="BV87" s="1044"/>
      <c r="BW87" s="1051">
        <f>BN87/11/4</f>
        <v>4.0909090909090908</v>
      </c>
      <c r="BX87" s="1051"/>
      <c r="BY87" s="1051"/>
      <c r="BZ87" s="1051"/>
      <c r="CA87" s="1051"/>
      <c r="CB87" s="1051"/>
      <c r="CC87" s="1051"/>
      <c r="CD87" s="1051"/>
      <c r="CE87" s="1051"/>
      <c r="CF87" s="70">
        <f>ROUND(BW87,0)</f>
        <v>4</v>
      </c>
      <c r="CG87" s="70"/>
      <c r="CH87" s="923" t="e">
        <f>CF87*#REF!</f>
        <v>#REF!</v>
      </c>
      <c r="CI87" s="913"/>
      <c r="CJ87" s="913"/>
      <c r="CK87" s="913"/>
      <c r="CL87" s="913"/>
      <c r="CM87" s="913"/>
      <c r="CN87" s="913"/>
      <c r="CO87" s="913"/>
      <c r="CP87" s="913"/>
      <c r="CQ87" s="913"/>
      <c r="CR87" s="913"/>
      <c r="CS87" s="914"/>
      <c r="CT87" s="70"/>
      <c r="CU87" s="1041" t="e">
        <f>CH87/60</f>
        <v>#REF!</v>
      </c>
      <c r="CV87" s="1042"/>
      <c r="CW87" s="1042"/>
      <c r="CX87" s="1042"/>
      <c r="CY87" s="1042"/>
      <c r="CZ87" s="1042"/>
      <c r="DA87" s="1042"/>
      <c r="DB87" s="1042"/>
      <c r="DC87" s="1042"/>
      <c r="DD87" s="1042"/>
      <c r="DE87" s="1042"/>
      <c r="DF87" s="1043"/>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70"/>
      <c r="FK87" s="70"/>
      <c r="FL87" s="70"/>
      <c r="FM87" s="70"/>
      <c r="FN87" s="70"/>
      <c r="FO87" s="70"/>
      <c r="FP87" s="70"/>
      <c r="FQ87" s="70"/>
      <c r="FR87" s="70"/>
      <c r="FS87" s="70"/>
      <c r="FT87" s="69"/>
      <c r="FU87" s="69"/>
      <c r="FV87" s="69"/>
      <c r="FW87" s="69"/>
      <c r="FX87" s="69"/>
      <c r="FY87" s="69"/>
      <c r="FZ87" s="69"/>
      <c r="GA87" s="69"/>
      <c r="GB87" s="69"/>
      <c r="GC87" s="69"/>
      <c r="GD87" s="69"/>
      <c r="GE87" s="69"/>
      <c r="GF87" s="69"/>
      <c r="GG87" s="69"/>
      <c r="GH87" s="69"/>
      <c r="GI87" s="69"/>
      <c r="GJ87" s="69"/>
      <c r="GK87" s="69"/>
      <c r="GL87" s="69"/>
      <c r="GM87" s="69"/>
      <c r="GN87" s="69"/>
      <c r="GO87" s="69"/>
      <c r="GP87" s="69"/>
      <c r="GQ87" s="69"/>
      <c r="GR87" s="69"/>
      <c r="GS87" s="69"/>
      <c r="GT87" s="69"/>
      <c r="GU87" s="69"/>
      <c r="GV87" s="69"/>
      <c r="GW87" s="69"/>
      <c r="GX87" s="69"/>
      <c r="GY87" s="69"/>
      <c r="GZ87" s="69"/>
    </row>
    <row r="88" spans="5:209" s="68" customFormat="1" ht="20.100000000000001" customHeight="1" x14ac:dyDescent="0.2">
      <c r="E88" s="1063"/>
      <c r="F88" s="1063"/>
      <c r="G88" s="1063"/>
      <c r="H88" s="1063"/>
      <c r="I88" s="1063"/>
      <c r="J88" s="1063"/>
      <c r="K88" s="1063"/>
      <c r="L88" s="1063"/>
      <c r="M88" s="1063"/>
      <c r="N88" s="1063"/>
      <c r="O88" s="1063"/>
      <c r="P88" s="1063"/>
      <c r="Q88" s="81"/>
      <c r="R88" s="225"/>
      <c r="S88" s="1070"/>
      <c r="T88" s="1070"/>
      <c r="U88" s="1070"/>
      <c r="V88" s="1070"/>
      <c r="W88" s="1055" t="s">
        <v>12</v>
      </c>
      <c r="X88" s="1055"/>
      <c r="Y88" s="1055"/>
      <c r="Z88" s="1055"/>
      <c r="AA88" s="1055"/>
      <c r="AB88" s="1055"/>
      <c r="AC88" s="1055"/>
      <c r="AD88" s="1055"/>
      <c r="AE88" s="1055"/>
      <c r="AF88" s="1055"/>
      <c r="AG88" s="1055"/>
      <c r="AH88" s="1055"/>
      <c r="AI88" s="1055"/>
      <c r="AJ88" s="1055"/>
      <c r="AK88" s="1055"/>
      <c r="AL88" s="1055" t="s">
        <v>669</v>
      </c>
      <c r="AM88" s="1055"/>
      <c r="AN88" s="1055"/>
      <c r="AO88" s="1055"/>
      <c r="AP88" s="1055"/>
      <c r="AQ88" s="1055"/>
      <c r="AR88" s="1055"/>
      <c r="AS88" s="1055"/>
      <c r="AT88" s="1055"/>
      <c r="AU88" s="1055"/>
      <c r="AV88" s="1055"/>
      <c r="AW88" s="1055"/>
      <c r="AX88" s="1055"/>
      <c r="AY88" s="1055"/>
      <c r="AZ88" s="1055"/>
      <c r="BA88" s="1055"/>
      <c r="BB88" s="1055"/>
      <c r="BC88" s="70"/>
      <c r="BD88" s="1044">
        <f>BD87</f>
        <v>40</v>
      </c>
      <c r="BE88" s="1044"/>
      <c r="BF88" s="1044"/>
      <c r="BG88" s="1044"/>
      <c r="BH88" s="1044"/>
      <c r="BI88" s="1044"/>
      <c r="BJ88" s="1044"/>
      <c r="BK88" s="1044"/>
      <c r="BL88" s="1044"/>
      <c r="BM88" s="70"/>
      <c r="BN88" s="1044">
        <f>'CH Equipe'!BJ19</f>
        <v>0</v>
      </c>
      <c r="BO88" s="1044"/>
      <c r="BP88" s="1044"/>
      <c r="BQ88" s="1044"/>
      <c r="BR88" s="1044"/>
      <c r="BS88" s="1044"/>
      <c r="BT88" s="1044"/>
      <c r="BU88" s="1044"/>
      <c r="BV88" s="1044"/>
      <c r="BW88" s="1051">
        <f>BN88/11/4</f>
        <v>0</v>
      </c>
      <c r="BX88" s="1051"/>
      <c r="BY88" s="1051"/>
      <c r="BZ88" s="1051"/>
      <c r="CA88" s="1051"/>
      <c r="CB88" s="1051"/>
      <c r="CC88" s="1051"/>
      <c r="CD88" s="1051"/>
      <c r="CE88" s="1051"/>
      <c r="CF88" s="70"/>
      <c r="CG88" s="70"/>
      <c r="CH88" s="211"/>
      <c r="CI88" s="212"/>
      <c r="CJ88" s="212"/>
      <c r="CK88" s="212"/>
      <c r="CL88" s="212"/>
      <c r="CM88" s="212"/>
      <c r="CN88" s="212"/>
      <c r="CO88" s="212"/>
      <c r="CP88" s="212"/>
      <c r="CQ88" s="212"/>
      <c r="CR88" s="212"/>
      <c r="CS88" s="213"/>
      <c r="CT88" s="70"/>
      <c r="CU88" s="228"/>
      <c r="CV88" s="229"/>
      <c r="CW88" s="229"/>
      <c r="CX88" s="229"/>
      <c r="CY88" s="229"/>
      <c r="CZ88" s="229"/>
      <c r="DA88" s="229"/>
      <c r="DB88" s="229"/>
      <c r="DC88" s="229"/>
      <c r="DD88" s="229"/>
      <c r="DE88" s="229"/>
      <c r="DF88" s="230"/>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70"/>
      <c r="FK88" s="70"/>
      <c r="FL88" s="70"/>
      <c r="FM88" s="70"/>
      <c r="FN88" s="70"/>
      <c r="FO88" s="70"/>
      <c r="FP88" s="70"/>
      <c r="FQ88" s="70"/>
      <c r="FR88" s="70"/>
      <c r="FS88" s="70"/>
      <c r="FT88" s="69"/>
      <c r="FU88" s="69"/>
      <c r="FV88" s="69"/>
      <c r="FW88" s="69"/>
      <c r="FX88" s="69"/>
      <c r="FY88" s="69"/>
      <c r="FZ88" s="69"/>
      <c r="GA88" s="69"/>
      <c r="GB88" s="69"/>
      <c r="GC88" s="69"/>
      <c r="GD88" s="69"/>
      <c r="GE88" s="69"/>
      <c r="GF88" s="69"/>
      <c r="GG88" s="69"/>
      <c r="GH88" s="69"/>
      <c r="GI88" s="69"/>
      <c r="GJ88" s="69"/>
      <c r="GK88" s="69"/>
      <c r="GL88" s="69"/>
      <c r="GM88" s="69"/>
      <c r="GN88" s="69"/>
      <c r="GO88" s="69"/>
      <c r="GP88" s="69"/>
      <c r="GQ88" s="69"/>
      <c r="GR88" s="69"/>
      <c r="GS88" s="69"/>
      <c r="GT88" s="69"/>
      <c r="GU88" s="69"/>
      <c r="GV88" s="69"/>
      <c r="GW88" s="69"/>
      <c r="GX88" s="69"/>
      <c r="GY88" s="69"/>
      <c r="GZ88" s="69"/>
    </row>
    <row r="89" spans="5:209" s="68" customFormat="1" ht="20.100000000000001" customHeight="1" x14ac:dyDescent="0.2">
      <c r="E89" s="1063"/>
      <c r="F89" s="1063"/>
      <c r="G89" s="1063"/>
      <c r="H89" s="1063"/>
      <c r="I89" s="1063"/>
      <c r="J89" s="1063"/>
      <c r="K89" s="1063"/>
      <c r="L89" s="1063"/>
      <c r="M89" s="1063"/>
      <c r="N89" s="1063"/>
      <c r="O89" s="1063"/>
      <c r="P89" s="1063"/>
      <c r="Q89" s="78"/>
      <c r="R89" s="225"/>
      <c r="S89" s="1070"/>
      <c r="T89" s="1070"/>
      <c r="U89" s="1070"/>
      <c r="V89" s="1070"/>
      <c r="W89" s="1055" t="s">
        <v>673</v>
      </c>
      <c r="X89" s="1055"/>
      <c r="Y89" s="1055"/>
      <c r="Z89" s="1055"/>
      <c r="AA89" s="1055"/>
      <c r="AB89" s="1055"/>
      <c r="AC89" s="1055"/>
      <c r="AD89" s="1055"/>
      <c r="AE89" s="1055"/>
      <c r="AF89" s="1055"/>
      <c r="AG89" s="1055"/>
      <c r="AH89" s="1055"/>
      <c r="AI89" s="1055"/>
      <c r="AJ89" s="1055"/>
      <c r="AK89" s="1055"/>
      <c r="AL89" s="1055" t="s">
        <v>669</v>
      </c>
      <c r="AM89" s="1055"/>
      <c r="AN89" s="1055"/>
      <c r="AO89" s="1055"/>
      <c r="AP89" s="1055"/>
      <c r="AQ89" s="1055"/>
      <c r="AR89" s="1055"/>
      <c r="AS89" s="1055"/>
      <c r="AT89" s="1055"/>
      <c r="AU89" s="1055"/>
      <c r="AV89" s="1055"/>
      <c r="AW89" s="1055"/>
      <c r="AX89" s="1055"/>
      <c r="AY89" s="1055"/>
      <c r="AZ89" s="1055"/>
      <c r="BA89" s="1055"/>
      <c r="BB89" s="1055"/>
      <c r="BC89" s="70"/>
      <c r="BD89" s="1044">
        <f>BD87</f>
        <v>40</v>
      </c>
      <c r="BE89" s="1044"/>
      <c r="BF89" s="1044"/>
      <c r="BG89" s="1044"/>
      <c r="BH89" s="1044"/>
      <c r="BI89" s="1044"/>
      <c r="BJ89" s="1044"/>
      <c r="BK89" s="1044"/>
      <c r="BL89" s="1044"/>
      <c r="BM89" s="70"/>
      <c r="BN89" s="1044">
        <f>'CH Equipe'!BJ23</f>
        <v>1245.1619999999998</v>
      </c>
      <c r="BO89" s="1044"/>
      <c r="BP89" s="1044"/>
      <c r="BQ89" s="1044"/>
      <c r="BR89" s="1044"/>
      <c r="BS89" s="1044"/>
      <c r="BT89" s="1044"/>
      <c r="BU89" s="1044"/>
      <c r="BV89" s="1044"/>
      <c r="BW89" s="1051">
        <f t="shared" ref="BW89:BW95" si="11">BN89/11/4</f>
        <v>28.299136363636361</v>
      </c>
      <c r="BX89" s="1051"/>
      <c r="BY89" s="1051"/>
      <c r="BZ89" s="1051"/>
      <c r="CA89" s="1051"/>
      <c r="CB89" s="1051"/>
      <c r="CC89" s="1051"/>
      <c r="CD89" s="1051"/>
      <c r="CE89" s="1051"/>
      <c r="CF89" s="70">
        <f>ROUND(BW89,0)</f>
        <v>28</v>
      </c>
      <c r="CG89" s="70"/>
      <c r="CH89" s="963" t="e">
        <f>CF89*#REF!</f>
        <v>#REF!</v>
      </c>
      <c r="CI89" s="924"/>
      <c r="CJ89" s="924"/>
      <c r="CK89" s="924"/>
      <c r="CL89" s="924"/>
      <c r="CM89" s="924"/>
      <c r="CN89" s="924"/>
      <c r="CO89" s="924"/>
      <c r="CP89" s="924"/>
      <c r="CQ89" s="924"/>
      <c r="CR89" s="924"/>
      <c r="CS89" s="962"/>
      <c r="CT89" s="70"/>
      <c r="CU89" s="1067" t="e">
        <f>CH89/60</f>
        <v>#REF!</v>
      </c>
      <c r="CV89" s="1068"/>
      <c r="CW89" s="1068"/>
      <c r="CX89" s="1068"/>
      <c r="CY89" s="1068"/>
      <c r="CZ89" s="1068"/>
      <c r="DA89" s="1068"/>
      <c r="DB89" s="1068"/>
      <c r="DC89" s="1068"/>
      <c r="DD89" s="1068"/>
      <c r="DE89" s="1068"/>
      <c r="DF89" s="1069"/>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70"/>
      <c r="FK89" s="70"/>
      <c r="FL89" s="70"/>
      <c r="FM89" s="70"/>
      <c r="FN89" s="70"/>
      <c r="FO89" s="70"/>
      <c r="FP89" s="70"/>
      <c r="FQ89" s="70"/>
      <c r="FR89" s="70"/>
      <c r="FS89" s="70"/>
      <c r="FT89" s="69"/>
      <c r="FU89" s="69"/>
      <c r="FV89" s="69"/>
      <c r="FW89" s="69"/>
      <c r="FX89" s="69"/>
      <c r="FY89" s="69"/>
      <c r="FZ89" s="69"/>
      <c r="GA89" s="69"/>
      <c r="GB89" s="69"/>
      <c r="GC89" s="69"/>
      <c r="GD89" s="69"/>
      <c r="GE89" s="69"/>
      <c r="GF89" s="69"/>
      <c r="GG89" s="69"/>
      <c r="GH89" s="69"/>
      <c r="GI89" s="69"/>
      <c r="GJ89" s="69"/>
      <c r="GK89" s="69"/>
      <c r="GL89" s="69"/>
      <c r="GM89" s="69"/>
      <c r="GN89" s="69"/>
      <c r="GO89" s="69"/>
      <c r="GP89" s="69"/>
      <c r="GQ89" s="69"/>
      <c r="GR89" s="69"/>
      <c r="GS89" s="69"/>
      <c r="GT89" s="69"/>
      <c r="GU89" s="69"/>
      <c r="GV89" s="69"/>
      <c r="GW89" s="69"/>
      <c r="GX89" s="69"/>
      <c r="GY89" s="69"/>
      <c r="GZ89" s="69"/>
    </row>
    <row r="90" spans="5:209" s="68" customFormat="1" ht="20.100000000000001" customHeight="1" x14ac:dyDescent="0.2">
      <c r="E90" s="1063"/>
      <c r="F90" s="1063"/>
      <c r="G90" s="1063"/>
      <c r="H90" s="1063"/>
      <c r="I90" s="1063"/>
      <c r="J90" s="1063"/>
      <c r="K90" s="1063"/>
      <c r="L90" s="1063"/>
      <c r="M90" s="1063"/>
      <c r="N90" s="1063"/>
      <c r="O90" s="1063"/>
      <c r="P90" s="1063"/>
      <c r="Q90" s="78"/>
      <c r="R90" s="225"/>
      <c r="S90" s="1070"/>
      <c r="T90" s="1070"/>
      <c r="U90" s="1070"/>
      <c r="V90" s="1070"/>
      <c r="W90" s="1055" t="s">
        <v>674</v>
      </c>
      <c r="X90" s="1055"/>
      <c r="Y90" s="1055"/>
      <c r="Z90" s="1055"/>
      <c r="AA90" s="1055"/>
      <c r="AB90" s="1055"/>
      <c r="AC90" s="1055"/>
      <c r="AD90" s="1055"/>
      <c r="AE90" s="1055"/>
      <c r="AF90" s="1055"/>
      <c r="AG90" s="1055"/>
      <c r="AH90" s="1055"/>
      <c r="AI90" s="1055"/>
      <c r="AJ90" s="1055"/>
      <c r="AK90" s="1055"/>
      <c r="AL90" s="1055" t="s">
        <v>669</v>
      </c>
      <c r="AM90" s="1055"/>
      <c r="AN90" s="1055"/>
      <c r="AO90" s="1055"/>
      <c r="AP90" s="1055"/>
      <c r="AQ90" s="1055"/>
      <c r="AR90" s="1055"/>
      <c r="AS90" s="1055"/>
      <c r="AT90" s="1055"/>
      <c r="AU90" s="1055"/>
      <c r="AV90" s="1055"/>
      <c r="AW90" s="1055"/>
      <c r="AX90" s="1055"/>
      <c r="AY90" s="1055"/>
      <c r="AZ90" s="1055"/>
      <c r="BA90" s="1055"/>
      <c r="BB90" s="1055"/>
      <c r="BC90" s="70"/>
      <c r="BD90" s="1044">
        <f>BD87</f>
        <v>40</v>
      </c>
      <c r="BE90" s="1044"/>
      <c r="BF90" s="1044"/>
      <c r="BG90" s="1044"/>
      <c r="BH90" s="1044"/>
      <c r="BI90" s="1044"/>
      <c r="BJ90" s="1044"/>
      <c r="BK90" s="1044"/>
      <c r="BL90" s="1044"/>
      <c r="BM90" s="70"/>
      <c r="BN90" s="1044">
        <f>'CH Equipe'!BJ30</f>
        <v>905.40000000000009</v>
      </c>
      <c r="BO90" s="1044"/>
      <c r="BP90" s="1044"/>
      <c r="BQ90" s="1044"/>
      <c r="BR90" s="1044"/>
      <c r="BS90" s="1044"/>
      <c r="BT90" s="1044"/>
      <c r="BU90" s="1044"/>
      <c r="BV90" s="1044"/>
      <c r="BW90" s="1051">
        <f t="shared" si="11"/>
        <v>20.577272727272728</v>
      </c>
      <c r="BX90" s="1051"/>
      <c r="BY90" s="1051"/>
      <c r="BZ90" s="1051"/>
      <c r="CA90" s="1051"/>
      <c r="CB90" s="1051"/>
      <c r="CC90" s="1051"/>
      <c r="CD90" s="1051"/>
      <c r="CE90" s="1051"/>
      <c r="CF90" s="70">
        <f>ROUND(BW90,0)</f>
        <v>21</v>
      </c>
      <c r="CG90" s="70"/>
      <c r="CH90" s="963" t="e">
        <f>CF90*#REF!</f>
        <v>#REF!</v>
      </c>
      <c r="CI90" s="924"/>
      <c r="CJ90" s="924"/>
      <c r="CK90" s="924"/>
      <c r="CL90" s="924"/>
      <c r="CM90" s="924"/>
      <c r="CN90" s="924"/>
      <c r="CO90" s="924"/>
      <c r="CP90" s="924"/>
      <c r="CQ90" s="924"/>
      <c r="CR90" s="924"/>
      <c r="CS90" s="962"/>
      <c r="CT90" s="70"/>
      <c r="CU90" s="1067" t="e">
        <f>CH90/60</f>
        <v>#REF!</v>
      </c>
      <c r="CV90" s="1068"/>
      <c r="CW90" s="1068"/>
      <c r="CX90" s="1068"/>
      <c r="CY90" s="1068"/>
      <c r="CZ90" s="1068"/>
      <c r="DA90" s="1068"/>
      <c r="DB90" s="1068"/>
      <c r="DC90" s="1068"/>
      <c r="DD90" s="1068"/>
      <c r="DE90" s="1068"/>
      <c r="DF90" s="1069"/>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70"/>
      <c r="FK90" s="70"/>
      <c r="FL90" s="70"/>
      <c r="FM90" s="70"/>
      <c r="FN90" s="70"/>
      <c r="FO90" s="70"/>
      <c r="FP90" s="70"/>
      <c r="FQ90" s="70"/>
      <c r="FR90" s="70"/>
      <c r="FS90" s="70"/>
      <c r="FT90" s="69"/>
      <c r="FU90" s="69"/>
      <c r="FV90" s="69"/>
      <c r="FW90" s="69"/>
      <c r="FX90" s="69"/>
      <c r="FY90" s="69"/>
      <c r="FZ90" s="69"/>
      <c r="GA90" s="69"/>
      <c r="GB90" s="69"/>
      <c r="GC90" s="69"/>
      <c r="GD90" s="69"/>
      <c r="GE90" s="69"/>
      <c r="GF90" s="69"/>
      <c r="GG90" s="69"/>
      <c r="GH90" s="69"/>
      <c r="GI90" s="69"/>
      <c r="GJ90" s="69"/>
      <c r="GK90" s="69"/>
      <c r="GL90" s="69"/>
      <c r="GM90" s="69"/>
      <c r="GN90" s="69"/>
      <c r="GO90" s="69"/>
      <c r="GP90" s="69"/>
      <c r="GQ90" s="69"/>
      <c r="GR90" s="69"/>
      <c r="GS90" s="69"/>
      <c r="GT90" s="69"/>
      <c r="GU90" s="69"/>
      <c r="GV90" s="69"/>
      <c r="GW90" s="69"/>
      <c r="GX90" s="69"/>
      <c r="GY90" s="69"/>
      <c r="GZ90" s="69"/>
    </row>
    <row r="91" spans="5:209" s="68" customFormat="1" ht="25.5" customHeight="1" x14ac:dyDescent="0.2">
      <c r="E91" s="1063"/>
      <c r="F91" s="1063"/>
      <c r="G91" s="1063"/>
      <c r="H91" s="1063"/>
      <c r="I91" s="1063"/>
      <c r="J91" s="1063"/>
      <c r="K91" s="1063"/>
      <c r="L91" s="1063"/>
      <c r="M91" s="1063"/>
      <c r="N91" s="1063"/>
      <c r="O91" s="1063"/>
      <c r="P91" s="1063"/>
      <c r="Q91" s="81"/>
      <c r="R91" s="225"/>
      <c r="S91" s="1070"/>
      <c r="T91" s="1070"/>
      <c r="U91" s="1070"/>
      <c r="V91" s="1070"/>
      <c r="W91" s="1055" t="s">
        <v>705</v>
      </c>
      <c r="X91" s="1055"/>
      <c r="Y91" s="1055"/>
      <c r="Z91" s="1055"/>
      <c r="AA91" s="1055"/>
      <c r="AB91" s="1055"/>
      <c r="AC91" s="1055"/>
      <c r="AD91" s="1055"/>
      <c r="AE91" s="1055"/>
      <c r="AF91" s="1055"/>
      <c r="AG91" s="1055"/>
      <c r="AH91" s="1055"/>
      <c r="AI91" s="1055"/>
      <c r="AJ91" s="1055"/>
      <c r="AK91" s="1055"/>
      <c r="AL91" s="1055" t="s">
        <v>669</v>
      </c>
      <c r="AM91" s="1055"/>
      <c r="AN91" s="1055"/>
      <c r="AO91" s="1055"/>
      <c r="AP91" s="1055"/>
      <c r="AQ91" s="1055"/>
      <c r="AR91" s="1055"/>
      <c r="AS91" s="1055"/>
      <c r="AT91" s="1055"/>
      <c r="AU91" s="1055"/>
      <c r="AV91" s="1055"/>
      <c r="AW91" s="1055"/>
      <c r="AX91" s="1055"/>
      <c r="AY91" s="1055"/>
      <c r="AZ91" s="1055"/>
      <c r="BA91" s="1055"/>
      <c r="BB91" s="1055"/>
      <c r="BC91" s="70"/>
      <c r="BD91" s="1044">
        <f>BD87</f>
        <v>40</v>
      </c>
      <c r="BE91" s="1044"/>
      <c r="BF91" s="1044"/>
      <c r="BG91" s="1044"/>
      <c r="BH91" s="1044"/>
      <c r="BI91" s="1044"/>
      <c r="BJ91" s="1044"/>
      <c r="BK91" s="1044"/>
      <c r="BL91" s="1044"/>
      <c r="BM91" s="70"/>
      <c r="BN91" s="1044">
        <f>'CH Equipe'!BJ39</f>
        <v>1185.7788</v>
      </c>
      <c r="BO91" s="1044"/>
      <c r="BP91" s="1044"/>
      <c r="BQ91" s="1044"/>
      <c r="BR91" s="1044"/>
      <c r="BS91" s="1044"/>
      <c r="BT91" s="1044"/>
      <c r="BU91" s="1044"/>
      <c r="BV91" s="1044"/>
      <c r="BW91" s="1051">
        <f t="shared" si="11"/>
        <v>26.949518181818181</v>
      </c>
      <c r="BX91" s="1051"/>
      <c r="BY91" s="1051"/>
      <c r="BZ91" s="1051"/>
      <c r="CA91" s="1051"/>
      <c r="CB91" s="1051"/>
      <c r="CC91" s="1051"/>
      <c r="CD91" s="1051"/>
      <c r="CE91" s="1051"/>
      <c r="CF91" s="70">
        <f>ROUND(BW91,0)</f>
        <v>27</v>
      </c>
      <c r="CG91" s="70"/>
      <c r="CH91" s="963" t="e">
        <f>CF91*#REF!</f>
        <v>#REF!</v>
      </c>
      <c r="CI91" s="924"/>
      <c r="CJ91" s="924"/>
      <c r="CK91" s="924"/>
      <c r="CL91" s="924"/>
      <c r="CM91" s="924"/>
      <c r="CN91" s="924"/>
      <c r="CO91" s="924"/>
      <c r="CP91" s="924"/>
      <c r="CQ91" s="924"/>
      <c r="CR91" s="924"/>
      <c r="CS91" s="962"/>
      <c r="CT91" s="70"/>
      <c r="CU91" s="1067" t="e">
        <f>CH91/60</f>
        <v>#REF!</v>
      </c>
      <c r="CV91" s="1068"/>
      <c r="CW91" s="1068"/>
      <c r="CX91" s="1068"/>
      <c r="CY91" s="1068"/>
      <c r="CZ91" s="1068"/>
      <c r="DA91" s="1068"/>
      <c r="DB91" s="1068"/>
      <c r="DC91" s="1068"/>
      <c r="DD91" s="1068"/>
      <c r="DE91" s="1068"/>
      <c r="DF91" s="1069"/>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70"/>
      <c r="FK91" s="70"/>
      <c r="FL91" s="70"/>
      <c r="FM91" s="70"/>
      <c r="FN91" s="70"/>
      <c r="FO91" s="70"/>
      <c r="FP91" s="70"/>
      <c r="FQ91" s="70"/>
      <c r="FR91" s="70"/>
      <c r="FS91" s="70"/>
      <c r="FT91" s="69"/>
      <c r="FU91" s="69"/>
      <c r="FV91" s="69"/>
      <c r="FW91" s="69"/>
      <c r="FX91" s="69"/>
      <c r="FY91" s="69"/>
      <c r="FZ91" s="69"/>
      <c r="GA91" s="69"/>
      <c r="GB91" s="69"/>
      <c r="GC91" s="69"/>
      <c r="GD91" s="69"/>
      <c r="GE91" s="69"/>
      <c r="GF91" s="69"/>
      <c r="GG91" s="69"/>
      <c r="GH91" s="69"/>
      <c r="GI91" s="69"/>
      <c r="GJ91" s="69"/>
      <c r="GK91" s="69"/>
      <c r="GL91" s="69"/>
      <c r="GM91" s="69"/>
      <c r="GN91" s="69"/>
      <c r="GO91" s="69"/>
      <c r="GP91" s="69"/>
      <c r="GQ91" s="69"/>
      <c r="GR91" s="69"/>
      <c r="GS91" s="69"/>
      <c r="GT91" s="69"/>
      <c r="GU91" s="69"/>
      <c r="GV91" s="69"/>
      <c r="GW91" s="69"/>
      <c r="GX91" s="69"/>
      <c r="GY91" s="69"/>
      <c r="GZ91" s="69"/>
    </row>
    <row r="92" spans="5:209" s="68" customFormat="1" ht="20.100000000000001" customHeight="1" x14ac:dyDescent="0.2">
      <c r="E92" s="1063"/>
      <c r="F92" s="1063"/>
      <c r="G92" s="1063"/>
      <c r="H92" s="1063"/>
      <c r="I92" s="1063"/>
      <c r="J92" s="1063"/>
      <c r="K92" s="1063"/>
      <c r="L92" s="1063"/>
      <c r="M92" s="1063"/>
      <c r="N92" s="1063"/>
      <c r="O92" s="1063"/>
      <c r="P92" s="1063"/>
      <c r="Q92" s="81"/>
      <c r="R92" s="225"/>
      <c r="S92" s="1070"/>
      <c r="T92" s="1070"/>
      <c r="U92" s="1070"/>
      <c r="V92" s="1070"/>
      <c r="W92" s="1064" t="s">
        <v>62</v>
      </c>
      <c r="X92" s="1065"/>
      <c r="Y92" s="1065"/>
      <c r="Z92" s="1065"/>
      <c r="AA92" s="1065"/>
      <c r="AB92" s="1065"/>
      <c r="AC92" s="1065"/>
      <c r="AD92" s="1065"/>
      <c r="AE92" s="1065"/>
      <c r="AF92" s="1065"/>
      <c r="AG92" s="1065"/>
      <c r="AH92" s="1065"/>
      <c r="AI92" s="1065"/>
      <c r="AJ92" s="1065"/>
      <c r="AK92" s="1066"/>
      <c r="AL92" s="1055" t="s">
        <v>669</v>
      </c>
      <c r="AM92" s="1055"/>
      <c r="AN92" s="1055"/>
      <c r="AO92" s="1055"/>
      <c r="AP92" s="1055"/>
      <c r="AQ92" s="1055"/>
      <c r="AR92" s="1055"/>
      <c r="AS92" s="1055"/>
      <c r="AT92" s="1055"/>
      <c r="AU92" s="1055"/>
      <c r="AV92" s="1055"/>
      <c r="AW92" s="1055"/>
      <c r="AX92" s="1055"/>
      <c r="AY92" s="1055"/>
      <c r="AZ92" s="1055"/>
      <c r="BA92" s="1055"/>
      <c r="BB92" s="1055"/>
      <c r="BC92" s="70"/>
      <c r="BD92" s="1044">
        <f>BD87</f>
        <v>40</v>
      </c>
      <c r="BE92" s="1044"/>
      <c r="BF92" s="1044"/>
      <c r="BG92" s="1044"/>
      <c r="BH92" s="1044"/>
      <c r="BI92" s="1044"/>
      <c r="BJ92" s="1044"/>
      <c r="BK92" s="1044"/>
      <c r="BL92" s="1044"/>
      <c r="BM92" s="70"/>
      <c r="BN92" s="1044">
        <f>'CH Equipe'!BJ49</f>
        <v>508.44240000000002</v>
      </c>
      <c r="BO92" s="1044"/>
      <c r="BP92" s="1044"/>
      <c r="BQ92" s="1044"/>
      <c r="BR92" s="1044"/>
      <c r="BS92" s="1044"/>
      <c r="BT92" s="1044"/>
      <c r="BU92" s="1044"/>
      <c r="BV92" s="1044"/>
      <c r="BW92" s="1051">
        <f t="shared" si="11"/>
        <v>11.555509090909091</v>
      </c>
      <c r="BX92" s="1051"/>
      <c r="BY92" s="1051"/>
      <c r="BZ92" s="1051"/>
      <c r="CA92" s="1051"/>
      <c r="CB92" s="1051"/>
      <c r="CC92" s="1051"/>
      <c r="CD92" s="1051"/>
      <c r="CE92" s="1051"/>
      <c r="CF92" s="70">
        <f>ROUND(BW92,0)</f>
        <v>12</v>
      </c>
      <c r="CG92" s="70"/>
      <c r="CH92" s="963" t="e">
        <f>CF92*#REF!</f>
        <v>#REF!</v>
      </c>
      <c r="CI92" s="924"/>
      <c r="CJ92" s="924"/>
      <c r="CK92" s="924"/>
      <c r="CL92" s="924"/>
      <c r="CM92" s="924"/>
      <c r="CN92" s="924"/>
      <c r="CO92" s="924"/>
      <c r="CP92" s="924"/>
      <c r="CQ92" s="924"/>
      <c r="CR92" s="924"/>
      <c r="CS92" s="962"/>
      <c r="CT92" s="70"/>
      <c r="CU92" s="1067" t="e">
        <f>CH92/60</f>
        <v>#REF!</v>
      </c>
      <c r="CV92" s="1068"/>
      <c r="CW92" s="1068"/>
      <c r="CX92" s="1068"/>
      <c r="CY92" s="1068"/>
      <c r="CZ92" s="1068"/>
      <c r="DA92" s="1068"/>
      <c r="DB92" s="1068"/>
      <c r="DC92" s="1068"/>
      <c r="DD92" s="1068"/>
      <c r="DE92" s="1068"/>
      <c r="DF92" s="1069"/>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70"/>
      <c r="FK92" s="70"/>
      <c r="FL92" s="70"/>
      <c r="FM92" s="70"/>
      <c r="FN92" s="70"/>
      <c r="FO92" s="70"/>
      <c r="FP92" s="70"/>
      <c r="FQ92" s="70"/>
      <c r="FR92" s="70"/>
      <c r="FS92" s="70"/>
      <c r="FT92" s="69"/>
      <c r="FU92" s="69"/>
      <c r="FV92" s="69"/>
      <c r="FW92" s="69"/>
      <c r="FX92" s="69"/>
      <c r="FY92" s="69"/>
      <c r="FZ92" s="69"/>
      <c r="GA92" s="69"/>
      <c r="GB92" s="69"/>
      <c r="GC92" s="69"/>
      <c r="GD92" s="69"/>
      <c r="GE92" s="69"/>
      <c r="GF92" s="69"/>
      <c r="GG92" s="69"/>
      <c r="GH92" s="69"/>
      <c r="GI92" s="69"/>
      <c r="GJ92" s="69"/>
      <c r="GK92" s="69"/>
      <c r="GL92" s="69"/>
      <c r="GM92" s="69"/>
      <c r="GN92" s="69"/>
      <c r="GO92" s="69"/>
      <c r="GP92" s="69"/>
      <c r="GQ92" s="69"/>
      <c r="GR92" s="69"/>
      <c r="GS92" s="69"/>
      <c r="GT92" s="69"/>
      <c r="GU92" s="69"/>
      <c r="GV92" s="69"/>
      <c r="GW92" s="69"/>
      <c r="GX92" s="69"/>
      <c r="GY92" s="69"/>
      <c r="GZ92" s="69"/>
    </row>
    <row r="93" spans="5:209" s="68" customFormat="1" ht="20.100000000000001" customHeight="1" x14ac:dyDescent="0.2">
      <c r="E93" s="1063"/>
      <c r="F93" s="1063"/>
      <c r="G93" s="1063"/>
      <c r="H93" s="1063"/>
      <c r="I93" s="1063"/>
      <c r="J93" s="1063"/>
      <c r="K93" s="1063"/>
      <c r="L93" s="1063"/>
      <c r="M93" s="1063"/>
      <c r="N93" s="1063"/>
      <c r="O93" s="1063"/>
      <c r="P93" s="1063"/>
      <c r="Q93" s="81"/>
      <c r="R93" s="225"/>
      <c r="S93" s="1070"/>
      <c r="T93" s="1070"/>
      <c r="U93" s="1070"/>
      <c r="V93" s="1070"/>
      <c r="W93" s="1055" t="s">
        <v>46</v>
      </c>
      <c r="X93" s="1055"/>
      <c r="Y93" s="1055"/>
      <c r="Z93" s="1055"/>
      <c r="AA93" s="1055"/>
      <c r="AB93" s="1055"/>
      <c r="AC93" s="1055"/>
      <c r="AD93" s="1055"/>
      <c r="AE93" s="1055"/>
      <c r="AF93" s="1055"/>
      <c r="AG93" s="1055"/>
      <c r="AH93" s="1055"/>
      <c r="AI93" s="1055"/>
      <c r="AJ93" s="1055"/>
      <c r="AK93" s="1055"/>
      <c r="AL93" s="1055" t="s">
        <v>669</v>
      </c>
      <c r="AM93" s="1055"/>
      <c r="AN93" s="1055"/>
      <c r="AO93" s="1055"/>
      <c r="AP93" s="1055"/>
      <c r="AQ93" s="1055"/>
      <c r="AR93" s="1055"/>
      <c r="AS93" s="1055"/>
      <c r="AT93" s="1055"/>
      <c r="AU93" s="1055"/>
      <c r="AV93" s="1055"/>
      <c r="AW93" s="1055"/>
      <c r="AX93" s="1055"/>
      <c r="AY93" s="1055"/>
      <c r="AZ93" s="1055"/>
      <c r="BA93" s="1055"/>
      <c r="BB93" s="1055"/>
      <c r="BC93" s="70"/>
      <c r="BD93" s="1044">
        <f>BD88</f>
        <v>40</v>
      </c>
      <c r="BE93" s="1044"/>
      <c r="BF93" s="1044"/>
      <c r="BG93" s="1044"/>
      <c r="BH93" s="1044"/>
      <c r="BI93" s="1044"/>
      <c r="BJ93" s="1044"/>
      <c r="BK93" s="1044"/>
      <c r="BL93" s="1044"/>
      <c r="BM93" s="70"/>
      <c r="BN93" s="1044">
        <f>'CH Equipe'!BJ61</f>
        <v>144.45984000000001</v>
      </c>
      <c r="BO93" s="1044"/>
      <c r="BP93" s="1044"/>
      <c r="BQ93" s="1044"/>
      <c r="BR93" s="1044"/>
      <c r="BS93" s="1044"/>
      <c r="BT93" s="1044"/>
      <c r="BU93" s="1044"/>
      <c r="BV93" s="1044"/>
      <c r="BW93" s="1051">
        <f t="shared" si="11"/>
        <v>3.2831781818181822</v>
      </c>
      <c r="BX93" s="1051"/>
      <c r="BY93" s="1051"/>
      <c r="BZ93" s="1051"/>
      <c r="CA93" s="1051"/>
      <c r="CB93" s="1051"/>
      <c r="CC93" s="1051"/>
      <c r="CD93" s="1051"/>
      <c r="CE93" s="1051"/>
      <c r="CF93" s="70"/>
      <c r="CG93" s="70"/>
      <c r="CH93" s="70"/>
      <c r="CI93" s="70"/>
      <c r="CJ93" s="70"/>
      <c r="CK93" s="70"/>
      <c r="CL93" s="70"/>
      <c r="CM93" s="70"/>
      <c r="CN93" s="70"/>
      <c r="CO93" s="70"/>
      <c r="CP93" s="70"/>
      <c r="CQ93" s="70"/>
      <c r="CR93" s="70"/>
      <c r="CS93" s="70"/>
      <c r="CT93" s="70"/>
      <c r="CU93" s="117"/>
      <c r="CV93" s="117"/>
      <c r="CW93" s="117"/>
      <c r="CX93" s="117"/>
      <c r="CY93" s="117"/>
      <c r="CZ93" s="117"/>
      <c r="DA93" s="117"/>
      <c r="DB93" s="117"/>
      <c r="DC93" s="117"/>
      <c r="DD93" s="117"/>
      <c r="DE93" s="117"/>
      <c r="DF93" s="117"/>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70"/>
      <c r="FK93" s="70"/>
      <c r="FL93" s="70"/>
      <c r="FM93" s="70"/>
      <c r="FN93" s="70"/>
      <c r="FO93" s="70"/>
      <c r="FP93" s="70"/>
      <c r="FQ93" s="70"/>
      <c r="FR93" s="70"/>
      <c r="FS93" s="70"/>
      <c r="FT93" s="69"/>
      <c r="FU93" s="69"/>
      <c r="FV93" s="69"/>
      <c r="FW93" s="69"/>
      <c r="FX93" s="69"/>
      <c r="FY93" s="69"/>
      <c r="FZ93" s="69"/>
      <c r="GA93" s="69"/>
      <c r="GB93" s="69"/>
      <c r="GC93" s="69"/>
      <c r="GD93" s="69"/>
      <c r="GE93" s="69"/>
      <c r="GF93" s="69"/>
      <c r="GG93" s="69"/>
      <c r="GH93" s="69"/>
      <c r="GI93" s="69"/>
      <c r="GJ93" s="69"/>
      <c r="GK93" s="69"/>
      <c r="GL93" s="69"/>
      <c r="GM93" s="69"/>
      <c r="GN93" s="69"/>
      <c r="GO93" s="69"/>
      <c r="GP93" s="69"/>
      <c r="GQ93" s="69"/>
      <c r="GR93" s="69"/>
      <c r="GS93" s="69"/>
      <c r="GT93" s="69"/>
      <c r="GU93" s="69"/>
      <c r="GV93" s="69"/>
      <c r="GW93" s="69"/>
      <c r="GX93" s="69"/>
      <c r="GY93" s="69"/>
      <c r="GZ93" s="69"/>
    </row>
    <row r="94" spans="5:209" s="68" customFormat="1" ht="20.100000000000001" customHeight="1" x14ac:dyDescent="0.2">
      <c r="E94" s="1063"/>
      <c r="F94" s="1063"/>
      <c r="G94" s="1063"/>
      <c r="H94" s="1063"/>
      <c r="I94" s="1063"/>
      <c r="J94" s="1063"/>
      <c r="K94" s="1063"/>
      <c r="L94" s="1063"/>
      <c r="M94" s="1063"/>
      <c r="N94" s="1063"/>
      <c r="O94" s="1063"/>
      <c r="P94" s="1063"/>
      <c r="Q94" s="81"/>
      <c r="R94" s="225"/>
      <c r="S94" s="1070"/>
      <c r="T94" s="1070"/>
      <c r="U94" s="1070"/>
      <c r="V94" s="1070"/>
      <c r="W94" s="1055" t="s">
        <v>287</v>
      </c>
      <c r="X94" s="1055"/>
      <c r="Y94" s="1055"/>
      <c r="Z94" s="1055"/>
      <c r="AA94" s="1055"/>
      <c r="AB94" s="1055"/>
      <c r="AC94" s="1055"/>
      <c r="AD94" s="1055"/>
      <c r="AE94" s="1055"/>
      <c r="AF94" s="1055"/>
      <c r="AG94" s="1055"/>
      <c r="AH94" s="1055"/>
      <c r="AI94" s="1055"/>
      <c r="AJ94" s="1055"/>
      <c r="AK94" s="1055"/>
      <c r="AL94" s="1055" t="s">
        <v>669</v>
      </c>
      <c r="AM94" s="1055"/>
      <c r="AN94" s="1055"/>
      <c r="AO94" s="1055"/>
      <c r="AP94" s="1055"/>
      <c r="AQ94" s="1055"/>
      <c r="AR94" s="1055"/>
      <c r="AS94" s="1055"/>
      <c r="AT94" s="1055"/>
      <c r="AU94" s="1055"/>
      <c r="AV94" s="1055"/>
      <c r="AW94" s="1055"/>
      <c r="AX94" s="1055"/>
      <c r="AY94" s="1055"/>
      <c r="AZ94" s="1055"/>
      <c r="BA94" s="1055"/>
      <c r="BB94" s="1055"/>
      <c r="BC94" s="70"/>
      <c r="BD94" s="1044">
        <f>BD87</f>
        <v>40</v>
      </c>
      <c r="BE94" s="1044"/>
      <c r="BF94" s="1044"/>
      <c r="BG94" s="1044"/>
      <c r="BH94" s="1044"/>
      <c r="BI94" s="1044"/>
      <c r="BJ94" s="1044"/>
      <c r="BK94" s="1044"/>
      <c r="BL94" s="1044"/>
      <c r="BM94" s="70"/>
      <c r="BN94" s="1044">
        <f>'CH Equipe'!BJ68</f>
        <v>0</v>
      </c>
      <c r="BO94" s="1044"/>
      <c r="BP94" s="1044"/>
      <c r="BQ94" s="1044"/>
      <c r="BR94" s="1044"/>
      <c r="BS94" s="1044"/>
      <c r="BT94" s="1044"/>
      <c r="BU94" s="1044"/>
      <c r="BV94" s="1044"/>
      <c r="BW94" s="1051">
        <f t="shared" si="11"/>
        <v>0</v>
      </c>
      <c r="BX94" s="1051"/>
      <c r="BY94" s="1051"/>
      <c r="BZ94" s="1051"/>
      <c r="CA94" s="1051"/>
      <c r="CB94" s="1051"/>
      <c r="CC94" s="1051"/>
      <c r="CD94" s="1051"/>
      <c r="CE94" s="1051"/>
      <c r="CF94" s="70"/>
      <c r="CG94" s="70"/>
      <c r="CH94" s="70"/>
      <c r="CI94" s="70"/>
      <c r="CJ94" s="70"/>
      <c r="CK94" s="70"/>
      <c r="CL94" s="70"/>
      <c r="CM94" s="70"/>
      <c r="CN94" s="70"/>
      <c r="CO94" s="70"/>
      <c r="CP94" s="70"/>
      <c r="CQ94" s="70"/>
      <c r="CR94" s="70"/>
      <c r="CS94" s="70"/>
      <c r="CT94" s="70"/>
      <c r="CU94" s="117"/>
      <c r="CV94" s="117"/>
      <c r="CW94" s="117"/>
      <c r="CX94" s="117"/>
      <c r="CY94" s="117"/>
      <c r="CZ94" s="117"/>
      <c r="DA94" s="117"/>
      <c r="DB94" s="117"/>
      <c r="DC94" s="117"/>
      <c r="DD94" s="117"/>
      <c r="DE94" s="117"/>
      <c r="DF94" s="117"/>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70"/>
      <c r="FK94" s="70"/>
      <c r="FL94" s="70"/>
      <c r="FM94" s="70"/>
      <c r="FN94" s="70"/>
      <c r="FO94" s="70"/>
      <c r="FP94" s="70"/>
      <c r="FQ94" s="70"/>
      <c r="FR94" s="70"/>
      <c r="FS94" s="70"/>
      <c r="FT94" s="69"/>
      <c r="FU94" s="69"/>
      <c r="FV94" s="69"/>
      <c r="FW94" s="69"/>
      <c r="FX94" s="69"/>
      <c r="FY94" s="69"/>
      <c r="FZ94" s="69"/>
      <c r="GA94" s="69"/>
      <c r="GB94" s="69"/>
      <c r="GC94" s="69"/>
      <c r="GD94" s="69"/>
      <c r="GE94" s="69"/>
      <c r="GF94" s="69"/>
      <c r="GG94" s="69"/>
      <c r="GH94" s="69"/>
      <c r="GI94" s="69"/>
      <c r="GJ94" s="69"/>
      <c r="GK94" s="69"/>
      <c r="GL94" s="69"/>
      <c r="GM94" s="69"/>
      <c r="GN94" s="69"/>
      <c r="GO94" s="69"/>
      <c r="GP94" s="69"/>
      <c r="GQ94" s="69"/>
      <c r="GR94" s="69"/>
      <c r="GS94" s="69"/>
      <c r="GT94" s="69"/>
      <c r="GU94" s="69"/>
      <c r="GV94" s="69"/>
      <c r="GW94" s="69"/>
      <c r="GX94" s="69"/>
      <c r="GY94" s="69"/>
      <c r="GZ94" s="69"/>
    </row>
    <row r="95" spans="5:209" s="68" customFormat="1" ht="20.100000000000001" customHeight="1" x14ac:dyDescent="0.2">
      <c r="E95" s="1063"/>
      <c r="F95" s="1063"/>
      <c r="G95" s="1063"/>
      <c r="H95" s="1063"/>
      <c r="I95" s="1063"/>
      <c r="J95" s="1063"/>
      <c r="K95" s="1063"/>
      <c r="L95" s="1063"/>
      <c r="M95" s="1063"/>
      <c r="N95" s="1063"/>
      <c r="O95" s="1063"/>
      <c r="P95" s="1063"/>
      <c r="Q95" s="81"/>
      <c r="R95" s="225"/>
      <c r="S95" s="1070"/>
      <c r="T95" s="1070"/>
      <c r="U95" s="1070"/>
      <c r="V95" s="1070"/>
      <c r="W95" s="1055" t="s">
        <v>397</v>
      </c>
      <c r="X95" s="1055"/>
      <c r="Y95" s="1055"/>
      <c r="Z95" s="1055"/>
      <c r="AA95" s="1055"/>
      <c r="AB95" s="1055"/>
      <c r="AC95" s="1055"/>
      <c r="AD95" s="1055"/>
      <c r="AE95" s="1055"/>
      <c r="AF95" s="1055"/>
      <c r="AG95" s="1055"/>
      <c r="AH95" s="1055"/>
      <c r="AI95" s="1055"/>
      <c r="AJ95" s="1055"/>
      <c r="AK95" s="1055"/>
      <c r="AL95" s="1055" t="s">
        <v>669</v>
      </c>
      <c r="AM95" s="1055"/>
      <c r="AN95" s="1055"/>
      <c r="AO95" s="1055"/>
      <c r="AP95" s="1055"/>
      <c r="AQ95" s="1055"/>
      <c r="AR95" s="1055"/>
      <c r="AS95" s="1055"/>
      <c r="AT95" s="1055"/>
      <c r="AU95" s="1055"/>
      <c r="AV95" s="1055"/>
      <c r="AW95" s="1055"/>
      <c r="AX95" s="1055"/>
      <c r="AY95" s="1055"/>
      <c r="AZ95" s="1055"/>
      <c r="BA95" s="1055"/>
      <c r="BB95" s="1055"/>
      <c r="BC95" s="70"/>
      <c r="BD95" s="1044">
        <f>BD87</f>
        <v>40</v>
      </c>
      <c r="BE95" s="1044"/>
      <c r="BF95" s="1044"/>
      <c r="BG95" s="1044"/>
      <c r="BH95" s="1044"/>
      <c r="BI95" s="1044"/>
      <c r="BJ95" s="1044"/>
      <c r="BK95" s="1044"/>
      <c r="BL95" s="1044"/>
      <c r="BM95" s="70"/>
      <c r="BN95" s="1044">
        <f>'CH Equipe'!BJ78</f>
        <v>1728</v>
      </c>
      <c r="BO95" s="1044"/>
      <c r="BP95" s="1044"/>
      <c r="BQ95" s="1044"/>
      <c r="BR95" s="1044"/>
      <c r="BS95" s="1044"/>
      <c r="BT95" s="1044"/>
      <c r="BU95" s="1044"/>
      <c r="BV95" s="1044"/>
      <c r="BW95" s="1051">
        <f t="shared" si="11"/>
        <v>39.272727272727273</v>
      </c>
      <c r="BX95" s="1051"/>
      <c r="BY95" s="1051"/>
      <c r="BZ95" s="1051"/>
      <c r="CA95" s="1051"/>
      <c r="CB95" s="1051"/>
      <c r="CC95" s="1051"/>
      <c r="CD95" s="1051"/>
      <c r="CE95" s="1051"/>
      <c r="CF95" s="70"/>
      <c r="CG95" s="70"/>
      <c r="CH95" s="70"/>
      <c r="CI95" s="70"/>
      <c r="CJ95" s="70"/>
      <c r="CK95" s="70"/>
      <c r="CL95" s="70"/>
      <c r="CM95" s="70"/>
      <c r="CN95" s="70"/>
      <c r="CO95" s="70"/>
      <c r="CP95" s="70"/>
      <c r="CQ95" s="70"/>
      <c r="CR95" s="70"/>
      <c r="CS95" s="70"/>
      <c r="CT95" s="70"/>
      <c r="CU95" s="117"/>
      <c r="CV95" s="117"/>
      <c r="CW95" s="117"/>
      <c r="CX95" s="117"/>
      <c r="CY95" s="117"/>
      <c r="CZ95" s="117"/>
      <c r="DA95" s="117"/>
      <c r="DB95" s="117"/>
      <c r="DC95" s="117"/>
      <c r="DD95" s="117"/>
      <c r="DE95" s="117"/>
      <c r="DF95" s="117"/>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70"/>
      <c r="FK95" s="70"/>
      <c r="FL95" s="70"/>
      <c r="FM95" s="70"/>
      <c r="FN95" s="70"/>
      <c r="FO95" s="70"/>
      <c r="FP95" s="70"/>
      <c r="FQ95" s="70"/>
      <c r="FR95" s="70"/>
      <c r="FS95" s="70"/>
      <c r="FT95" s="69"/>
      <c r="FU95" s="69"/>
      <c r="FV95" s="69"/>
      <c r="FW95" s="69"/>
      <c r="FX95" s="69"/>
      <c r="FY95" s="69"/>
      <c r="FZ95" s="69"/>
      <c r="GA95" s="69"/>
      <c r="GB95" s="69"/>
      <c r="GC95" s="69"/>
      <c r="GD95" s="69"/>
      <c r="GE95" s="69"/>
      <c r="GF95" s="69"/>
      <c r="GG95" s="69"/>
      <c r="GH95" s="69"/>
      <c r="GI95" s="69"/>
      <c r="GJ95" s="69"/>
      <c r="GK95" s="69"/>
      <c r="GL95" s="69"/>
      <c r="GM95" s="69"/>
      <c r="GN95" s="69"/>
      <c r="GO95" s="69"/>
      <c r="GP95" s="69"/>
      <c r="GQ95" s="69"/>
      <c r="GR95" s="69"/>
      <c r="GS95" s="69"/>
      <c r="GT95" s="69"/>
      <c r="GU95" s="69"/>
      <c r="GV95" s="69"/>
      <c r="GW95" s="69"/>
      <c r="GX95" s="69"/>
      <c r="GY95" s="69"/>
      <c r="GZ95" s="69"/>
    </row>
    <row r="96" spans="5:209" s="68" customFormat="1" ht="20.100000000000001" customHeight="1" x14ac:dyDescent="0.2">
      <c r="E96" s="1063"/>
      <c r="F96" s="1063"/>
      <c r="G96" s="1063"/>
      <c r="H96" s="1063"/>
      <c r="I96" s="1063"/>
      <c r="J96" s="1063"/>
      <c r="K96" s="1063"/>
      <c r="L96" s="1063"/>
      <c r="M96" s="1063"/>
      <c r="N96" s="1063"/>
      <c r="O96" s="1063"/>
      <c r="P96" s="1063"/>
      <c r="Q96" s="81"/>
      <c r="R96" s="225"/>
      <c r="S96" s="231"/>
      <c r="T96" s="231"/>
      <c r="U96" s="231"/>
      <c r="V96" s="231"/>
      <c r="W96" s="1055" t="s">
        <v>676</v>
      </c>
      <c r="X96" s="1055"/>
      <c r="Y96" s="1055"/>
      <c r="Z96" s="1055"/>
      <c r="AA96" s="1055"/>
      <c r="AB96" s="1055"/>
      <c r="AC96" s="1055"/>
      <c r="AD96" s="1055"/>
      <c r="AE96" s="1055"/>
      <c r="AF96" s="1055"/>
      <c r="AG96" s="1055"/>
      <c r="AH96" s="1055"/>
      <c r="AI96" s="1055"/>
      <c r="AJ96" s="1055"/>
      <c r="AK96" s="1055"/>
      <c r="AL96" s="1055" t="s">
        <v>669</v>
      </c>
      <c r="AM96" s="1055"/>
      <c r="AN96" s="1055"/>
      <c r="AO96" s="1055"/>
      <c r="AP96" s="1055"/>
      <c r="AQ96" s="1055"/>
      <c r="AR96" s="1055"/>
      <c r="AS96" s="1055"/>
      <c r="AT96" s="1055"/>
      <c r="AU96" s="1055"/>
      <c r="AV96" s="1055"/>
      <c r="AW96" s="1055"/>
      <c r="AX96" s="1055"/>
      <c r="AY96" s="1055"/>
      <c r="AZ96" s="1055"/>
      <c r="BA96" s="1055"/>
      <c r="BB96" s="1055"/>
      <c r="BC96" s="70"/>
      <c r="BD96" s="1044">
        <f>BD88</f>
        <v>40</v>
      </c>
      <c r="BE96" s="1044"/>
      <c r="BF96" s="1044"/>
      <c r="BG96" s="1044"/>
      <c r="BH96" s="1044"/>
      <c r="BI96" s="1044"/>
      <c r="BJ96" s="1044"/>
      <c r="BK96" s="1044"/>
      <c r="BL96" s="1044"/>
      <c r="BM96" s="70"/>
      <c r="BN96" s="1044">
        <f>'CH Equipe'!BJ89</f>
        <v>-1597.2430399999998</v>
      </c>
      <c r="BO96" s="1044"/>
      <c r="BP96" s="1044"/>
      <c r="BQ96" s="1044"/>
      <c r="BR96" s="1044"/>
      <c r="BS96" s="1044"/>
      <c r="BT96" s="1044"/>
      <c r="BU96" s="1044"/>
      <c r="BV96" s="1044"/>
      <c r="BW96" s="1051">
        <f>BN96/11/4</f>
        <v>-36.300978181818181</v>
      </c>
      <c r="BX96" s="1051"/>
      <c r="BY96" s="1051"/>
      <c r="BZ96" s="1051"/>
      <c r="CA96" s="1051"/>
      <c r="CB96" s="1051"/>
      <c r="CC96" s="1051"/>
      <c r="CD96" s="1051"/>
      <c r="CE96" s="1051"/>
      <c r="CF96" s="70"/>
      <c r="CG96" s="70"/>
      <c r="CH96" s="70"/>
      <c r="CI96" s="70"/>
      <c r="CJ96" s="70"/>
      <c r="CK96" s="70"/>
      <c r="CL96" s="70"/>
      <c r="CM96" s="70"/>
      <c r="CN96" s="70"/>
      <c r="CO96" s="70"/>
      <c r="CP96" s="70"/>
      <c r="CQ96" s="70"/>
      <c r="CR96" s="70"/>
      <c r="CS96" s="70"/>
      <c r="CT96" s="70"/>
      <c r="CU96" s="117"/>
      <c r="CV96" s="117"/>
      <c r="CW96" s="117"/>
      <c r="CX96" s="117"/>
      <c r="CY96" s="117"/>
      <c r="CZ96" s="117"/>
      <c r="DA96" s="117"/>
      <c r="DB96" s="117"/>
      <c r="DC96" s="117"/>
      <c r="DD96" s="117"/>
      <c r="DE96" s="117"/>
      <c r="DF96" s="117"/>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70"/>
      <c r="FK96" s="70"/>
      <c r="FL96" s="70"/>
      <c r="FM96" s="70"/>
      <c r="FN96" s="70"/>
      <c r="FO96" s="70"/>
      <c r="FP96" s="70"/>
      <c r="FQ96" s="70"/>
      <c r="FR96" s="70"/>
      <c r="FS96" s="70"/>
      <c r="FT96" s="69"/>
      <c r="FU96" s="69"/>
      <c r="FV96" s="69"/>
      <c r="FW96" s="69"/>
      <c r="FX96" s="69"/>
      <c r="FY96" s="69"/>
      <c r="FZ96" s="69"/>
      <c r="GA96" s="69"/>
      <c r="GB96" s="69"/>
      <c r="GC96" s="69"/>
      <c r="GD96" s="69"/>
      <c r="GE96" s="69"/>
      <c r="GF96" s="69"/>
      <c r="GG96" s="69"/>
      <c r="GH96" s="69"/>
      <c r="GI96" s="69"/>
      <c r="GJ96" s="69"/>
      <c r="GK96" s="69"/>
      <c r="GL96" s="69"/>
      <c r="GM96" s="69"/>
      <c r="GN96" s="69"/>
      <c r="GO96" s="69"/>
      <c r="GP96" s="69"/>
      <c r="GQ96" s="69"/>
      <c r="GR96" s="69"/>
      <c r="GS96" s="69"/>
      <c r="GT96" s="69"/>
      <c r="GU96" s="69"/>
      <c r="GV96" s="69"/>
      <c r="GW96" s="69"/>
      <c r="GX96" s="69"/>
      <c r="GY96" s="69"/>
      <c r="GZ96" s="69"/>
    </row>
    <row r="97" spans="5:209" s="68" customFormat="1" ht="5.0999999999999996" customHeight="1" x14ac:dyDescent="0.2">
      <c r="E97" s="1063"/>
      <c r="F97" s="1063"/>
      <c r="G97" s="1063"/>
      <c r="H97" s="1063"/>
      <c r="I97" s="1063"/>
      <c r="J97" s="1063"/>
      <c r="K97" s="1063"/>
      <c r="L97" s="1063"/>
      <c r="M97" s="1063"/>
      <c r="N97" s="1063"/>
      <c r="O97" s="1063"/>
      <c r="P97" s="1063"/>
      <c r="Q97" s="81"/>
      <c r="R97" s="225"/>
      <c r="S97" s="1060"/>
      <c r="T97" s="1060"/>
      <c r="U97" s="1060"/>
      <c r="V97" s="1060"/>
      <c r="W97" s="1060"/>
      <c r="X97" s="1060"/>
      <c r="Y97" s="1060"/>
      <c r="Z97" s="1060"/>
      <c r="AA97" s="1060"/>
      <c r="AB97" s="1060"/>
      <c r="AC97" s="1060"/>
      <c r="AD97" s="1060"/>
      <c r="AE97" s="1060"/>
      <c r="AF97" s="1060"/>
      <c r="AG97" s="1060"/>
      <c r="AH97" s="1060"/>
      <c r="AI97" s="1060"/>
      <c r="AJ97" s="1060"/>
      <c r="AK97" s="1060"/>
      <c r="AL97" s="1060"/>
      <c r="AM97" s="1060"/>
      <c r="AN97" s="1060"/>
      <c r="AO97" s="1060"/>
      <c r="AP97" s="1060"/>
      <c r="AQ97" s="1060"/>
      <c r="AR97" s="1060"/>
      <c r="AS97" s="1060"/>
      <c r="AT97" s="1060"/>
      <c r="AU97" s="1060"/>
      <c r="AV97" s="1060"/>
      <c r="AW97" s="1060"/>
      <c r="AX97" s="1060"/>
      <c r="AY97" s="1060"/>
      <c r="AZ97" s="1060"/>
      <c r="BA97" s="1060"/>
      <c r="BB97" s="1060"/>
      <c r="BC97" s="70"/>
      <c r="BD97" s="961"/>
      <c r="BE97" s="961"/>
      <c r="BF97" s="961"/>
      <c r="BG97" s="961"/>
      <c r="BH97" s="961"/>
      <c r="BI97" s="961"/>
      <c r="BJ97" s="961"/>
      <c r="BK97" s="961"/>
      <c r="BL97" s="961"/>
      <c r="BM97" s="70"/>
      <c r="BN97" s="70"/>
      <c r="BO97" s="70"/>
      <c r="BP97" s="70"/>
      <c r="BQ97" s="70"/>
      <c r="BR97" s="70"/>
      <c r="BS97" s="70"/>
      <c r="BT97" s="70"/>
      <c r="BU97" s="70"/>
      <c r="BV97" s="70"/>
      <c r="BW97" s="70"/>
      <c r="BX97" s="70"/>
      <c r="BY97" s="70"/>
      <c r="BZ97" s="70"/>
      <c r="CA97" s="70"/>
      <c r="CB97" s="70"/>
      <c r="CC97" s="70"/>
      <c r="CD97" s="70"/>
      <c r="CE97" s="70"/>
      <c r="CF97" s="70"/>
      <c r="CG97" s="70"/>
      <c r="CH97" s="961"/>
      <c r="CI97" s="961"/>
      <c r="CJ97" s="961"/>
      <c r="CK97" s="961"/>
      <c r="CL97" s="961"/>
      <c r="CM97" s="961"/>
      <c r="CN97" s="961"/>
      <c r="CO97" s="961"/>
      <c r="CP97" s="961"/>
      <c r="CQ97" s="961"/>
      <c r="CR97" s="961"/>
      <c r="CS97" s="961"/>
      <c r="CT97" s="70"/>
      <c r="CU97" s="961"/>
      <c r="CV97" s="961"/>
      <c r="CW97" s="961"/>
      <c r="CX97" s="961"/>
      <c r="CY97" s="961"/>
      <c r="CZ97" s="961"/>
      <c r="DA97" s="961"/>
      <c r="DB97" s="961"/>
      <c r="DC97" s="961"/>
      <c r="DD97" s="961"/>
      <c r="DE97" s="961"/>
      <c r="DF97" s="96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70"/>
      <c r="FK97" s="70"/>
      <c r="FL97" s="70"/>
      <c r="FM97" s="70"/>
      <c r="FN97" s="70"/>
      <c r="FO97" s="70"/>
      <c r="FP97" s="70"/>
      <c r="FQ97" s="70"/>
      <c r="FR97" s="70"/>
      <c r="FS97" s="70"/>
      <c r="FT97" s="69"/>
      <c r="FU97" s="69"/>
      <c r="FV97" s="69"/>
      <c r="FW97" s="69"/>
      <c r="FX97" s="69"/>
      <c r="FY97" s="69"/>
      <c r="FZ97" s="69"/>
      <c r="GA97" s="69"/>
      <c r="GB97" s="69"/>
      <c r="GC97" s="69"/>
      <c r="GD97" s="69"/>
      <c r="GE97" s="69"/>
      <c r="GF97" s="69"/>
      <c r="GG97" s="69"/>
      <c r="GH97" s="69"/>
      <c r="GI97" s="69"/>
      <c r="GJ97" s="69"/>
      <c r="GK97" s="69"/>
      <c r="GL97" s="69"/>
      <c r="GM97" s="69"/>
      <c r="GN97" s="69"/>
      <c r="GO97" s="69"/>
      <c r="GP97" s="69"/>
      <c r="GQ97" s="69"/>
      <c r="GR97" s="69"/>
      <c r="GS97" s="69"/>
      <c r="GT97" s="69"/>
      <c r="GU97" s="69"/>
      <c r="GV97" s="69"/>
      <c r="GW97" s="69"/>
      <c r="GX97" s="69"/>
      <c r="GY97" s="69"/>
      <c r="GZ97" s="69"/>
    </row>
    <row r="98" spans="5:209" s="68" customFormat="1" ht="24.75" customHeight="1" x14ac:dyDescent="0.2">
      <c r="E98" s="1063"/>
      <c r="F98" s="1063"/>
      <c r="G98" s="1063"/>
      <c r="H98" s="1063"/>
      <c r="I98" s="1063"/>
      <c r="J98" s="1063"/>
      <c r="K98" s="1063"/>
      <c r="L98" s="1063"/>
      <c r="M98" s="1063"/>
      <c r="N98" s="1063"/>
      <c r="O98" s="1063"/>
      <c r="P98" s="1063"/>
      <c r="Q98" s="81"/>
      <c r="R98" s="225"/>
      <c r="S98" s="1060"/>
      <c r="T98" s="1060"/>
      <c r="U98" s="1060"/>
      <c r="V98" s="1060"/>
      <c r="W98" s="1060"/>
      <c r="X98" s="1060"/>
      <c r="Y98" s="1060"/>
      <c r="Z98" s="1060"/>
      <c r="AA98" s="1060"/>
      <c r="AB98" s="1060"/>
      <c r="AC98" s="1060"/>
      <c r="AD98" s="1060"/>
      <c r="AE98" s="1060"/>
      <c r="AF98" s="1060"/>
      <c r="AG98" s="1060"/>
      <c r="AH98" s="1060"/>
      <c r="AI98" s="1060"/>
      <c r="AJ98" s="1060"/>
      <c r="AK98" s="1060"/>
      <c r="AL98" s="1060"/>
      <c r="AM98" s="1060"/>
      <c r="AN98" s="1060"/>
      <c r="AO98" s="1060"/>
      <c r="AP98" s="1060"/>
      <c r="AQ98" s="1060"/>
      <c r="AR98" s="1060"/>
      <c r="AS98" s="1060"/>
      <c r="AT98" s="1060"/>
      <c r="AU98" s="1060"/>
      <c r="AV98" s="1060"/>
      <c r="AW98" s="1060"/>
      <c r="AX98" s="1060"/>
      <c r="AY98" s="1060"/>
      <c r="AZ98" s="1060"/>
      <c r="BA98" s="1060"/>
      <c r="BB98" s="1060"/>
      <c r="BC98" s="70"/>
      <c r="BD98" s="961"/>
      <c r="BE98" s="961"/>
      <c r="BF98" s="961"/>
      <c r="BG98" s="961"/>
      <c r="BH98" s="961"/>
      <c r="BI98" s="961"/>
      <c r="BJ98" s="961"/>
      <c r="BK98" s="961"/>
      <c r="BL98" s="961"/>
      <c r="BM98" s="70"/>
      <c r="BN98" s="69"/>
      <c r="BO98" s="69"/>
      <c r="BP98" s="69"/>
      <c r="BQ98" s="69"/>
      <c r="BR98" s="69"/>
      <c r="BS98" s="69"/>
      <c r="BT98" s="69"/>
      <c r="BU98" s="69"/>
      <c r="BV98" s="69"/>
      <c r="BW98" s="1044" t="s">
        <v>666</v>
      </c>
      <c r="BX98" s="1044"/>
      <c r="BY98" s="1044"/>
      <c r="BZ98" s="1044"/>
      <c r="CA98" s="1044"/>
      <c r="CB98" s="1044"/>
      <c r="CC98" s="1044"/>
      <c r="CD98" s="1044"/>
      <c r="CE98" s="1044"/>
      <c r="CF98" s="70"/>
      <c r="CG98" s="70"/>
      <c r="CH98" s="965"/>
      <c r="CI98" s="966"/>
      <c r="CJ98" s="966"/>
      <c r="CK98" s="966"/>
      <c r="CL98" s="966"/>
      <c r="CM98" s="966"/>
      <c r="CN98" s="966"/>
      <c r="CO98" s="966"/>
      <c r="CP98" s="966"/>
      <c r="CQ98" s="966"/>
      <c r="CR98" s="966"/>
      <c r="CS98" s="967"/>
      <c r="CT98" s="70"/>
      <c r="CU98" s="1057">
        <f>SUM('[1]CH Equipe'!CG142:CO142)</f>
        <v>0</v>
      </c>
      <c r="CV98" s="1058"/>
      <c r="CW98" s="1058"/>
      <c r="CX98" s="1058"/>
      <c r="CY98" s="1058"/>
      <c r="CZ98" s="1058"/>
      <c r="DA98" s="1058"/>
      <c r="DB98" s="1058"/>
      <c r="DC98" s="1058"/>
      <c r="DD98" s="1058"/>
      <c r="DE98" s="1058"/>
      <c r="DF98" s="1059"/>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70"/>
      <c r="FK98" s="70"/>
      <c r="FL98" s="70"/>
      <c r="FM98" s="70"/>
      <c r="FN98" s="70"/>
      <c r="FO98" s="70"/>
      <c r="FP98" s="70"/>
      <c r="FQ98" s="70"/>
      <c r="FR98" s="70"/>
      <c r="FS98" s="70"/>
      <c r="FT98" s="69"/>
      <c r="FU98" s="69"/>
      <c r="FV98" s="69"/>
      <c r="FW98" s="69"/>
      <c r="FX98" s="69"/>
      <c r="FY98" s="69"/>
      <c r="FZ98" s="69"/>
      <c r="GA98" s="69"/>
      <c r="GB98" s="69"/>
      <c r="GC98" s="69"/>
      <c r="GD98" s="69"/>
      <c r="GE98" s="69"/>
      <c r="GF98" s="69"/>
      <c r="GG98" s="69"/>
      <c r="GH98" s="69"/>
      <c r="GI98" s="69"/>
      <c r="GJ98" s="69"/>
      <c r="GK98" s="69"/>
      <c r="GL98" s="69"/>
      <c r="GM98" s="69"/>
      <c r="GN98" s="69"/>
      <c r="GO98" s="69"/>
      <c r="GP98" s="69"/>
      <c r="GQ98" s="69"/>
      <c r="GR98" s="69"/>
      <c r="GS98" s="69"/>
      <c r="GT98" s="69"/>
      <c r="GU98" s="69"/>
      <c r="GV98" s="69"/>
      <c r="GW98" s="69"/>
      <c r="GX98" s="69"/>
      <c r="GY98" s="69"/>
      <c r="GZ98" s="69"/>
    </row>
    <row r="99" spans="5:209" s="68" customFormat="1" ht="5.0999999999999996" customHeight="1" x14ac:dyDescent="0.2">
      <c r="E99" s="1063"/>
      <c r="F99" s="1063"/>
      <c r="G99" s="1063"/>
      <c r="H99" s="1063"/>
      <c r="I99" s="1063"/>
      <c r="J99" s="1063"/>
      <c r="K99" s="1063"/>
      <c r="L99" s="1063"/>
      <c r="M99" s="1063"/>
      <c r="N99" s="1063"/>
      <c r="O99" s="1063"/>
      <c r="P99" s="1063"/>
      <c r="Q99" s="81"/>
      <c r="R99" s="225"/>
      <c r="S99" s="1060"/>
      <c r="T99" s="1060"/>
      <c r="U99" s="1060"/>
      <c r="V99" s="1060"/>
      <c r="W99" s="1060"/>
      <c r="X99" s="1060"/>
      <c r="Y99" s="1060"/>
      <c r="Z99" s="1060"/>
      <c r="AA99" s="1060"/>
      <c r="AB99" s="1060"/>
      <c r="AC99" s="1060"/>
      <c r="AD99" s="1060"/>
      <c r="AE99" s="1060"/>
      <c r="AF99" s="1060"/>
      <c r="AG99" s="1060"/>
      <c r="AH99" s="1060"/>
      <c r="AI99" s="1060"/>
      <c r="AJ99" s="1060"/>
      <c r="AK99" s="1060"/>
      <c r="AL99" s="1060"/>
      <c r="AM99" s="1060"/>
      <c r="AN99" s="1060"/>
      <c r="AO99" s="1060"/>
      <c r="AP99" s="1060"/>
      <c r="AQ99" s="1060"/>
      <c r="AR99" s="1060"/>
      <c r="AS99" s="1060"/>
      <c r="AT99" s="1060"/>
      <c r="AU99" s="1060"/>
      <c r="AV99" s="1060"/>
      <c r="AW99" s="1060"/>
      <c r="AX99" s="1060"/>
      <c r="AY99" s="1060"/>
      <c r="AZ99" s="1060"/>
      <c r="BA99" s="1060"/>
      <c r="BB99" s="1060"/>
      <c r="BC99" s="70"/>
      <c r="BD99" s="961"/>
      <c r="BE99" s="961"/>
      <c r="BF99" s="961"/>
      <c r="BG99" s="961"/>
      <c r="BH99" s="961"/>
      <c r="BI99" s="961"/>
      <c r="BJ99" s="961"/>
      <c r="BK99" s="961"/>
      <c r="BL99" s="961"/>
      <c r="BM99" s="70"/>
      <c r="BN99" s="70"/>
      <c r="BO99" s="70"/>
      <c r="BP99" s="70"/>
      <c r="BQ99" s="70"/>
      <c r="BR99" s="70"/>
      <c r="BS99" s="70"/>
      <c r="BT99" s="70"/>
      <c r="BU99" s="70"/>
      <c r="BV99" s="70"/>
      <c r="BW99" s="70"/>
      <c r="BX99" s="70"/>
      <c r="BY99" s="70"/>
      <c r="BZ99" s="70"/>
      <c r="CA99" s="70"/>
      <c r="CB99" s="70"/>
      <c r="CC99" s="70"/>
      <c r="CD99" s="70"/>
      <c r="CE99" s="70"/>
      <c r="CF99" s="70"/>
      <c r="CG99" s="70"/>
      <c r="CH99" s="961"/>
      <c r="CI99" s="961"/>
      <c r="CJ99" s="961"/>
      <c r="CK99" s="961"/>
      <c r="CL99" s="961"/>
      <c r="CM99" s="961"/>
      <c r="CN99" s="961"/>
      <c r="CO99" s="961"/>
      <c r="CP99" s="961"/>
      <c r="CQ99" s="961"/>
      <c r="CR99" s="961"/>
      <c r="CS99" s="961"/>
      <c r="CT99" s="70"/>
      <c r="CU99" s="961"/>
      <c r="CV99" s="961"/>
      <c r="CW99" s="961"/>
      <c r="CX99" s="961"/>
      <c r="CY99" s="961"/>
      <c r="CZ99" s="961"/>
      <c r="DA99" s="961"/>
      <c r="DB99" s="961"/>
      <c r="DC99" s="961"/>
      <c r="DD99" s="961"/>
      <c r="DE99" s="961"/>
      <c r="DF99" s="96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70"/>
      <c r="FK99" s="70"/>
      <c r="FL99" s="70"/>
      <c r="FM99" s="70"/>
      <c r="FN99" s="70"/>
      <c r="FO99" s="70"/>
      <c r="FP99" s="70"/>
      <c r="FQ99" s="70"/>
      <c r="FR99" s="70"/>
      <c r="FS99" s="70"/>
      <c r="FT99" s="69"/>
      <c r="FU99" s="69"/>
      <c r="FV99" s="69"/>
      <c r="FW99" s="69"/>
      <c r="FX99" s="69"/>
      <c r="FY99" s="69"/>
      <c r="FZ99" s="69"/>
      <c r="GA99" s="69"/>
      <c r="GB99" s="69"/>
      <c r="GC99" s="69"/>
      <c r="GD99" s="69"/>
      <c r="GE99" s="69"/>
      <c r="GF99" s="69"/>
      <c r="GG99" s="69"/>
      <c r="GH99" s="69"/>
      <c r="GI99" s="69"/>
      <c r="GJ99" s="69"/>
      <c r="GK99" s="69"/>
      <c r="GL99" s="69"/>
      <c r="GM99" s="69"/>
      <c r="GN99" s="69"/>
      <c r="GO99" s="69"/>
      <c r="GP99" s="69"/>
      <c r="GQ99" s="69"/>
      <c r="GR99" s="69"/>
      <c r="GS99" s="69"/>
      <c r="GT99" s="69"/>
      <c r="GU99" s="69"/>
      <c r="GV99" s="69"/>
      <c r="GW99" s="69"/>
      <c r="GX99" s="69"/>
      <c r="GY99" s="69"/>
      <c r="GZ99" s="69"/>
    </row>
    <row r="100" spans="5:209" s="68" customFormat="1" ht="20.100000000000001" customHeight="1" x14ac:dyDescent="0.2">
      <c r="E100" s="1063"/>
      <c r="F100" s="1063"/>
      <c r="G100" s="1063"/>
      <c r="H100" s="1063"/>
      <c r="I100" s="1063"/>
      <c r="J100" s="1063"/>
      <c r="K100" s="1063"/>
      <c r="L100" s="1063"/>
      <c r="M100" s="1063"/>
      <c r="N100" s="1063"/>
      <c r="O100" s="1063"/>
      <c r="P100" s="1063"/>
      <c r="Q100" s="81"/>
      <c r="R100" s="225"/>
      <c r="S100" s="1061" t="s">
        <v>96</v>
      </c>
      <c r="T100" s="1055"/>
      <c r="U100" s="1055"/>
      <c r="V100" s="1055"/>
      <c r="W100" s="1055"/>
      <c r="X100" s="1055"/>
      <c r="Y100" s="1055"/>
      <c r="Z100" s="1055"/>
      <c r="AA100" s="1055"/>
      <c r="AB100" s="1055"/>
      <c r="AC100" s="1055"/>
      <c r="AD100" s="1055"/>
      <c r="AE100" s="1055"/>
      <c r="AF100" s="1055"/>
      <c r="AG100" s="1055"/>
      <c r="AH100" s="1055"/>
      <c r="AI100" s="1055"/>
      <c r="AJ100" s="1055"/>
      <c r="AK100" s="1055"/>
      <c r="AL100" s="1055"/>
      <c r="AM100" s="1055"/>
      <c r="AN100" s="1055"/>
      <c r="AO100" s="1055"/>
      <c r="AP100" s="1055"/>
      <c r="AQ100" s="1055"/>
      <c r="AR100" s="1055"/>
      <c r="AS100" s="1055"/>
      <c r="AT100" s="1055"/>
      <c r="AU100" s="1055"/>
      <c r="AV100" s="1055"/>
      <c r="AW100" s="1055"/>
      <c r="AX100" s="1055"/>
      <c r="AY100" s="1055"/>
      <c r="AZ100" s="1055"/>
      <c r="BA100" s="1055"/>
      <c r="BB100" s="1055"/>
      <c r="BC100" s="1055"/>
      <c r="BD100" s="1055"/>
      <c r="BE100" s="1055"/>
      <c r="BF100" s="1055"/>
      <c r="BG100" s="1055"/>
      <c r="BH100" s="1055"/>
      <c r="BI100" s="1055"/>
      <c r="BJ100" s="1055"/>
      <c r="BK100" s="1055"/>
      <c r="BL100" s="1055"/>
      <c r="BM100" s="1055"/>
      <c r="BN100" s="1055"/>
      <c r="BO100" s="1055"/>
      <c r="BP100" s="1055"/>
      <c r="BQ100" s="1055"/>
      <c r="BR100" s="1055"/>
      <c r="BS100" s="1055"/>
      <c r="BT100" s="1055"/>
      <c r="BU100" s="1055"/>
      <c r="BV100" s="1056"/>
      <c r="BW100" s="1047">
        <f>'CH Equipe'!CG119</f>
        <v>164.84848484848487</v>
      </c>
      <c r="BX100" s="1044"/>
      <c r="BY100" s="1044"/>
      <c r="BZ100" s="1044"/>
      <c r="CA100" s="1044"/>
      <c r="CB100" s="1044"/>
      <c r="CC100" s="1044"/>
      <c r="CD100" s="1044"/>
      <c r="CE100" s="1044"/>
      <c r="CF100" s="70"/>
      <c r="CG100" s="70"/>
      <c r="CH100" s="965"/>
      <c r="CI100" s="966"/>
      <c r="CJ100" s="966"/>
      <c r="CK100" s="966"/>
      <c r="CL100" s="966"/>
      <c r="CM100" s="966"/>
      <c r="CN100" s="966"/>
      <c r="CO100" s="966"/>
      <c r="CP100" s="966"/>
      <c r="CQ100" s="966"/>
      <c r="CR100" s="966"/>
      <c r="CS100" s="967"/>
      <c r="CT100" s="70"/>
      <c r="CU100" s="1057">
        <f>SUM('[1]CH Equipe'!CG144:CO144)</f>
        <v>0</v>
      </c>
      <c r="CV100" s="1058"/>
      <c r="CW100" s="1058"/>
      <c r="CX100" s="1058"/>
      <c r="CY100" s="1058"/>
      <c r="CZ100" s="1058"/>
      <c r="DA100" s="1058"/>
      <c r="DB100" s="1058"/>
      <c r="DC100" s="1058"/>
      <c r="DD100" s="1058"/>
      <c r="DE100" s="1058"/>
      <c r="DF100" s="1059"/>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70"/>
      <c r="FK100" s="70"/>
      <c r="FL100" s="70"/>
      <c r="FM100" s="70"/>
      <c r="FN100" s="70"/>
      <c r="FO100" s="70"/>
      <c r="FP100" s="70"/>
      <c r="FQ100" s="70"/>
      <c r="FR100" s="70"/>
      <c r="FS100" s="70"/>
      <c r="FT100" s="69"/>
      <c r="FU100" s="69"/>
      <c r="FV100" s="69"/>
      <c r="FW100" s="69"/>
      <c r="FX100" s="69"/>
      <c r="FY100" s="69"/>
      <c r="FZ100" s="69"/>
      <c r="GA100" s="69"/>
      <c r="GB100" s="69"/>
      <c r="GC100" s="69"/>
      <c r="GD100" s="69"/>
      <c r="GE100" s="69"/>
      <c r="GF100" s="69"/>
      <c r="GG100" s="69"/>
      <c r="GH100" s="69"/>
      <c r="GI100" s="69"/>
      <c r="GJ100" s="69"/>
      <c r="GK100" s="69"/>
      <c r="GL100" s="69"/>
      <c r="GM100" s="69"/>
      <c r="GN100" s="69"/>
      <c r="GO100" s="69"/>
      <c r="GP100" s="69"/>
      <c r="GQ100" s="69"/>
      <c r="GR100" s="69"/>
      <c r="GS100" s="69"/>
      <c r="GT100" s="69"/>
      <c r="GU100" s="69"/>
      <c r="GV100" s="69"/>
      <c r="GW100" s="69"/>
      <c r="GX100" s="69"/>
      <c r="GY100" s="69"/>
      <c r="GZ100" s="69"/>
    </row>
    <row r="101" spans="5:209" s="68" customFormat="1" ht="5.0999999999999996" customHeight="1" x14ac:dyDescent="0.2">
      <c r="E101" s="1063"/>
      <c r="F101" s="1063"/>
      <c r="G101" s="1063"/>
      <c r="H101" s="1063"/>
      <c r="I101" s="1063"/>
      <c r="J101" s="1063"/>
      <c r="K101" s="1063"/>
      <c r="L101" s="1063"/>
      <c r="M101" s="1063"/>
      <c r="N101" s="1063"/>
      <c r="O101" s="1063"/>
      <c r="P101" s="1063"/>
      <c r="Q101" s="81"/>
      <c r="R101" s="225"/>
      <c r="S101" s="1060"/>
      <c r="T101" s="1060"/>
      <c r="U101" s="1060"/>
      <c r="V101" s="1060"/>
      <c r="W101" s="1060"/>
      <c r="X101" s="1060"/>
      <c r="Y101" s="1060"/>
      <c r="Z101" s="1060"/>
      <c r="AA101" s="1060"/>
      <c r="AB101" s="1060"/>
      <c r="AC101" s="1060"/>
      <c r="AD101" s="1060"/>
      <c r="AE101" s="1060"/>
      <c r="AF101" s="1060"/>
      <c r="AG101" s="1060"/>
      <c r="AH101" s="1060"/>
      <c r="AI101" s="1060"/>
      <c r="AJ101" s="1060"/>
      <c r="AK101" s="1060"/>
      <c r="AL101" s="1060"/>
      <c r="AM101" s="1060"/>
      <c r="AN101" s="1060"/>
      <c r="AO101" s="1060"/>
      <c r="AP101" s="1060"/>
      <c r="AQ101" s="1060"/>
      <c r="AR101" s="1060"/>
      <c r="AS101" s="1060"/>
      <c r="AT101" s="1060"/>
      <c r="AU101" s="1060"/>
      <c r="AV101" s="1060"/>
      <c r="AW101" s="1060"/>
      <c r="AX101" s="1060"/>
      <c r="AY101" s="1060"/>
      <c r="AZ101" s="1060"/>
      <c r="BA101" s="1060"/>
      <c r="BB101" s="1060"/>
      <c r="BC101" s="70"/>
      <c r="BD101" s="961"/>
      <c r="BE101" s="961"/>
      <c r="BF101" s="961"/>
      <c r="BG101" s="961"/>
      <c r="BH101" s="961"/>
      <c r="BI101" s="961"/>
      <c r="BJ101" s="961"/>
      <c r="BK101" s="961"/>
      <c r="BL101" s="961"/>
      <c r="BM101" s="70"/>
      <c r="BN101" s="70"/>
      <c r="BO101" s="70"/>
      <c r="BP101" s="70"/>
      <c r="BQ101" s="70"/>
      <c r="BR101" s="70"/>
      <c r="BS101" s="70"/>
      <c r="BT101" s="70"/>
      <c r="BU101" s="70"/>
      <c r="BV101" s="70"/>
      <c r="BW101" s="70"/>
      <c r="BX101" s="70"/>
      <c r="BY101" s="70"/>
      <c r="BZ101" s="70"/>
      <c r="CA101" s="70"/>
      <c r="CB101" s="70"/>
      <c r="CC101" s="70"/>
      <c r="CD101" s="70"/>
      <c r="CE101" s="70"/>
      <c r="CF101" s="70"/>
      <c r="CG101" s="70"/>
      <c r="CH101" s="961"/>
      <c r="CI101" s="961"/>
      <c r="CJ101" s="961"/>
      <c r="CK101" s="961"/>
      <c r="CL101" s="961"/>
      <c r="CM101" s="961"/>
      <c r="CN101" s="961"/>
      <c r="CO101" s="961"/>
      <c r="CP101" s="961"/>
      <c r="CQ101" s="961"/>
      <c r="CR101" s="961"/>
      <c r="CS101" s="961"/>
      <c r="CT101" s="70"/>
      <c r="CU101" s="961"/>
      <c r="CV101" s="961"/>
      <c r="CW101" s="961"/>
      <c r="CX101" s="961"/>
      <c r="CY101" s="961"/>
      <c r="CZ101" s="961"/>
      <c r="DA101" s="961"/>
      <c r="DB101" s="961"/>
      <c r="DC101" s="961"/>
      <c r="DD101" s="961"/>
      <c r="DE101" s="961"/>
      <c r="DF101" s="96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70"/>
      <c r="FK101" s="70"/>
      <c r="FL101" s="70"/>
      <c r="FM101" s="70"/>
      <c r="FN101" s="70"/>
      <c r="FO101" s="70"/>
      <c r="FP101" s="70"/>
      <c r="FQ101" s="70"/>
      <c r="FR101" s="70"/>
      <c r="FS101" s="70"/>
      <c r="FT101" s="69"/>
      <c r="FU101" s="69"/>
      <c r="FV101" s="69"/>
      <c r="FW101" s="69"/>
      <c r="FX101" s="69"/>
      <c r="FY101" s="69"/>
      <c r="FZ101" s="69"/>
      <c r="GA101" s="69"/>
      <c r="GB101" s="69"/>
      <c r="GC101" s="69"/>
      <c r="GD101" s="69"/>
      <c r="GE101" s="69"/>
      <c r="GF101" s="69"/>
      <c r="GG101" s="69"/>
      <c r="GH101" s="69"/>
      <c r="GI101" s="69"/>
      <c r="GJ101" s="69"/>
      <c r="GK101" s="69"/>
      <c r="GL101" s="69"/>
      <c r="GM101" s="69"/>
      <c r="GN101" s="69"/>
      <c r="GO101" s="69"/>
      <c r="GP101" s="69"/>
      <c r="GQ101" s="69"/>
      <c r="GR101" s="69"/>
      <c r="GS101" s="69"/>
      <c r="GT101" s="69"/>
      <c r="GU101" s="69"/>
      <c r="GV101" s="69"/>
      <c r="GW101" s="69"/>
      <c r="GX101" s="69"/>
      <c r="GY101" s="69"/>
      <c r="GZ101" s="69"/>
    </row>
    <row r="102" spans="5:209" s="68" customFormat="1" ht="20.100000000000001" customHeight="1" x14ac:dyDescent="0.2">
      <c r="E102" s="1063"/>
      <c r="F102" s="1063"/>
      <c r="G102" s="1063"/>
      <c r="H102" s="1063"/>
      <c r="I102" s="1063"/>
      <c r="J102" s="1063"/>
      <c r="K102" s="1063"/>
      <c r="L102" s="1063"/>
      <c r="M102" s="1063"/>
      <c r="N102" s="1063"/>
      <c r="O102" s="1063"/>
      <c r="P102" s="1063"/>
      <c r="Q102" s="81"/>
      <c r="R102" s="225"/>
      <c r="S102" s="1055" t="s">
        <v>27</v>
      </c>
      <c r="T102" s="1055"/>
      <c r="U102" s="1055"/>
      <c r="V102" s="1055"/>
      <c r="W102" s="1055"/>
      <c r="X102" s="1055"/>
      <c r="Y102" s="1055"/>
      <c r="Z102" s="1055"/>
      <c r="AA102" s="1055"/>
      <c r="AB102" s="1055"/>
      <c r="AC102" s="1055"/>
      <c r="AD102" s="1055"/>
      <c r="AE102" s="1055"/>
      <c r="AF102" s="1055"/>
      <c r="AG102" s="1055"/>
      <c r="AH102" s="1055"/>
      <c r="AI102" s="1055"/>
      <c r="AJ102" s="1055"/>
      <c r="AK102" s="1055"/>
      <c r="AL102" s="1055"/>
      <c r="AM102" s="1055"/>
      <c r="AN102" s="1055"/>
      <c r="AO102" s="1055"/>
      <c r="AP102" s="1055"/>
      <c r="AQ102" s="1055"/>
      <c r="AR102" s="1055"/>
      <c r="AS102" s="1055"/>
      <c r="AT102" s="1055"/>
      <c r="AU102" s="1055"/>
      <c r="AV102" s="1055"/>
      <c r="AW102" s="1055"/>
      <c r="AX102" s="1055"/>
      <c r="AY102" s="1055"/>
      <c r="AZ102" s="1055"/>
      <c r="BA102" s="1055"/>
      <c r="BB102" s="1055"/>
      <c r="BC102" s="1055"/>
      <c r="BD102" s="1055"/>
      <c r="BE102" s="1055"/>
      <c r="BF102" s="1055"/>
      <c r="BG102" s="1055"/>
      <c r="BH102" s="1055"/>
      <c r="BI102" s="1055"/>
      <c r="BJ102" s="1055"/>
      <c r="BK102" s="1055"/>
      <c r="BL102" s="1055"/>
      <c r="BM102" s="1055"/>
      <c r="BN102" s="1055"/>
      <c r="BO102" s="1055"/>
      <c r="BP102" s="1055"/>
      <c r="BQ102" s="1055"/>
      <c r="BR102" s="1055"/>
      <c r="BS102" s="1055"/>
      <c r="BT102" s="1055"/>
      <c r="BU102" s="1055"/>
      <c r="BV102" s="1056"/>
      <c r="BW102" s="1047">
        <f>'CH Equipe'!AT119</f>
        <v>1</v>
      </c>
      <c r="BX102" s="1044"/>
      <c r="BY102" s="1044"/>
      <c r="BZ102" s="1044"/>
      <c r="CA102" s="1044"/>
      <c r="CB102" s="1044"/>
      <c r="CC102" s="1044"/>
      <c r="CD102" s="1044"/>
      <c r="CE102" s="1044"/>
      <c r="CF102" s="70"/>
      <c r="CG102" s="70"/>
      <c r="CH102" s="961"/>
      <c r="CI102" s="961"/>
      <c r="CJ102" s="961"/>
      <c r="CK102" s="961"/>
      <c r="CL102" s="961"/>
      <c r="CM102" s="961"/>
      <c r="CN102" s="961"/>
      <c r="CO102" s="961"/>
      <c r="CP102" s="961"/>
      <c r="CQ102" s="961"/>
      <c r="CR102" s="961"/>
      <c r="CS102" s="961"/>
      <c r="CT102" s="70"/>
      <c r="CU102" s="1057">
        <f>SUM('[1]CH Equipe'!AU144:BC144)</f>
        <v>0</v>
      </c>
      <c r="CV102" s="1058"/>
      <c r="CW102" s="1058"/>
      <c r="CX102" s="1058"/>
      <c r="CY102" s="1058"/>
      <c r="CZ102" s="1058"/>
      <c r="DA102" s="1058"/>
      <c r="DB102" s="1058"/>
      <c r="DC102" s="1058"/>
      <c r="DD102" s="1058"/>
      <c r="DE102" s="1058"/>
      <c r="DF102" s="1059"/>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70"/>
      <c r="FK102" s="70"/>
      <c r="FL102" s="70"/>
      <c r="FM102" s="70"/>
      <c r="FN102" s="70"/>
      <c r="FO102" s="70"/>
      <c r="FP102" s="70"/>
      <c r="FQ102" s="70"/>
      <c r="FR102" s="70"/>
      <c r="FS102" s="70"/>
      <c r="FT102" s="69"/>
      <c r="FU102" s="69"/>
      <c r="FV102" s="69"/>
      <c r="FW102" s="69"/>
      <c r="FX102" s="69"/>
      <c r="FY102" s="69"/>
      <c r="FZ102" s="69"/>
      <c r="GA102" s="69"/>
      <c r="GB102" s="69"/>
      <c r="GC102" s="69"/>
      <c r="GD102" s="69"/>
      <c r="GE102" s="69"/>
      <c r="GF102" s="69"/>
      <c r="GG102" s="69"/>
      <c r="GH102" s="69"/>
      <c r="GI102" s="69"/>
      <c r="GJ102" s="69"/>
      <c r="GK102" s="69"/>
      <c r="GL102" s="69"/>
      <c r="GM102" s="69"/>
      <c r="GN102" s="69"/>
      <c r="GO102" s="69"/>
      <c r="GP102" s="69"/>
      <c r="GQ102" s="69"/>
      <c r="GR102" s="69"/>
      <c r="GS102" s="69"/>
      <c r="GT102" s="69"/>
      <c r="GU102" s="69"/>
      <c r="GV102" s="69"/>
      <c r="GW102" s="69"/>
      <c r="GX102" s="69"/>
      <c r="GY102" s="69"/>
      <c r="GZ102" s="69"/>
    </row>
    <row r="103" spans="5:209" s="68" customFormat="1" ht="5.0999999999999996" customHeight="1" x14ac:dyDescent="0.2">
      <c r="E103" s="1063"/>
      <c r="F103" s="1063"/>
      <c r="G103" s="1063"/>
      <c r="H103" s="1063"/>
      <c r="I103" s="1063"/>
      <c r="J103" s="1063"/>
      <c r="K103" s="1063"/>
      <c r="L103" s="1063"/>
      <c r="M103" s="1063"/>
      <c r="N103" s="1063"/>
      <c r="O103" s="1063"/>
      <c r="P103" s="1063"/>
      <c r="Q103" s="81"/>
      <c r="R103" s="225"/>
      <c r="S103" s="1060"/>
      <c r="T103" s="1060"/>
      <c r="U103" s="1060"/>
      <c r="V103" s="1060"/>
      <c r="W103" s="1060"/>
      <c r="X103" s="1060"/>
      <c r="Y103" s="1060"/>
      <c r="Z103" s="1060"/>
      <c r="AA103" s="1060"/>
      <c r="AB103" s="1060"/>
      <c r="AC103" s="1060"/>
      <c r="AD103" s="1060"/>
      <c r="AE103" s="1060"/>
      <c r="AF103" s="1060"/>
      <c r="AG103" s="1060"/>
      <c r="AH103" s="1060"/>
      <c r="AI103" s="1060"/>
      <c r="AJ103" s="1060"/>
      <c r="AK103" s="1060"/>
      <c r="AL103" s="1060"/>
      <c r="AM103" s="1060"/>
      <c r="AN103" s="1060"/>
      <c r="AO103" s="1060"/>
      <c r="AP103" s="1060"/>
      <c r="AQ103" s="1060"/>
      <c r="AR103" s="1060"/>
      <c r="AS103" s="1060"/>
      <c r="AT103" s="1060"/>
      <c r="AU103" s="1060"/>
      <c r="AV103" s="1060"/>
      <c r="AW103" s="1060"/>
      <c r="AX103" s="1060"/>
      <c r="AY103" s="1060"/>
      <c r="AZ103" s="1060"/>
      <c r="BA103" s="1060"/>
      <c r="BB103" s="1060"/>
      <c r="BC103" s="70"/>
      <c r="BD103" s="961"/>
      <c r="BE103" s="961"/>
      <c r="BF103" s="961"/>
      <c r="BG103" s="961"/>
      <c r="BH103" s="961"/>
      <c r="BI103" s="961"/>
      <c r="BJ103" s="961"/>
      <c r="BK103" s="961"/>
      <c r="BL103" s="961"/>
      <c r="BM103" s="70"/>
      <c r="BN103" s="70"/>
      <c r="BO103" s="70"/>
      <c r="BP103" s="70"/>
      <c r="BQ103" s="70"/>
      <c r="BR103" s="70"/>
      <c r="BS103" s="70"/>
      <c r="BT103" s="70"/>
      <c r="BU103" s="70"/>
      <c r="BV103" s="70"/>
      <c r="BW103" s="70"/>
      <c r="BX103" s="70"/>
      <c r="BY103" s="70"/>
      <c r="BZ103" s="70"/>
      <c r="CA103" s="70"/>
      <c r="CB103" s="70"/>
      <c r="CC103" s="70"/>
      <c r="CD103" s="70"/>
      <c r="CE103" s="70"/>
      <c r="CF103" s="70"/>
      <c r="CG103" s="70"/>
      <c r="CH103" s="961"/>
      <c r="CI103" s="961"/>
      <c r="CJ103" s="961"/>
      <c r="CK103" s="961"/>
      <c r="CL103" s="961"/>
      <c r="CM103" s="961"/>
      <c r="CN103" s="961"/>
      <c r="CO103" s="961"/>
      <c r="CP103" s="961"/>
      <c r="CQ103" s="961"/>
      <c r="CR103" s="961"/>
      <c r="CS103" s="961"/>
      <c r="CT103" s="70"/>
      <c r="CU103" s="1062"/>
      <c r="CV103" s="1062"/>
      <c r="CW103" s="1062"/>
      <c r="CX103" s="1062"/>
      <c r="CY103" s="1062"/>
      <c r="CZ103" s="1062"/>
      <c r="DA103" s="1062"/>
      <c r="DB103" s="1062"/>
      <c r="DC103" s="1062"/>
      <c r="DD103" s="1062"/>
      <c r="DE103" s="1062"/>
      <c r="DF103" s="1062"/>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70"/>
      <c r="FK103" s="70"/>
      <c r="FL103" s="70"/>
      <c r="FM103" s="70"/>
      <c r="FN103" s="70"/>
      <c r="FO103" s="70"/>
      <c r="FP103" s="70"/>
      <c r="FQ103" s="70"/>
      <c r="FR103" s="70"/>
      <c r="FS103" s="70"/>
      <c r="FT103" s="69"/>
      <c r="FU103" s="69"/>
      <c r="FV103" s="69"/>
      <c r="FW103" s="69"/>
      <c r="FX103" s="69"/>
      <c r="FY103" s="69"/>
      <c r="FZ103" s="69"/>
      <c r="GA103" s="69"/>
      <c r="GB103" s="69"/>
      <c r="GC103" s="69"/>
      <c r="GD103" s="69"/>
      <c r="GE103" s="69"/>
      <c r="GF103" s="69"/>
      <c r="GG103" s="69"/>
      <c r="GH103" s="69"/>
      <c r="GI103" s="69"/>
      <c r="GJ103" s="69"/>
      <c r="GK103" s="69"/>
      <c r="GL103" s="69"/>
      <c r="GM103" s="69"/>
      <c r="GN103" s="69"/>
      <c r="GO103" s="69"/>
      <c r="GP103" s="69"/>
      <c r="GQ103" s="69"/>
      <c r="GR103" s="69"/>
      <c r="GS103" s="69"/>
      <c r="GT103" s="69"/>
      <c r="GU103" s="69"/>
      <c r="GV103" s="69"/>
      <c r="GW103" s="69"/>
      <c r="GX103" s="69"/>
      <c r="GY103" s="69"/>
      <c r="GZ103" s="69"/>
    </row>
    <row r="104" spans="5:209" s="68" customFormat="1" ht="20.100000000000001" customHeight="1" x14ac:dyDescent="0.2">
      <c r="E104" s="1063"/>
      <c r="F104" s="1063"/>
      <c r="G104" s="1063"/>
      <c r="H104" s="1063"/>
      <c r="I104" s="1063"/>
      <c r="J104" s="1063"/>
      <c r="K104" s="1063"/>
      <c r="L104" s="1063"/>
      <c r="M104" s="1063"/>
      <c r="N104" s="1063"/>
      <c r="O104" s="1063"/>
      <c r="P104" s="1063"/>
      <c r="Q104" s="81"/>
      <c r="R104" s="225"/>
      <c r="S104" s="1055" t="s">
        <v>668</v>
      </c>
      <c r="T104" s="1055"/>
      <c r="U104" s="1055"/>
      <c r="V104" s="1055"/>
      <c r="W104" s="1055"/>
      <c r="X104" s="1055"/>
      <c r="Y104" s="1055"/>
      <c r="Z104" s="1055"/>
      <c r="AA104" s="1055"/>
      <c r="AB104" s="1055"/>
      <c r="AC104" s="1055"/>
      <c r="AD104" s="1055"/>
      <c r="AE104" s="1055"/>
      <c r="AF104" s="1055"/>
      <c r="AG104" s="1055"/>
      <c r="AH104" s="1055"/>
      <c r="AI104" s="1055"/>
      <c r="AJ104" s="1055"/>
      <c r="AK104" s="1055"/>
      <c r="AL104" s="1055"/>
      <c r="AM104" s="1055"/>
      <c r="AN104" s="1055"/>
      <c r="AO104" s="1055"/>
      <c r="AP104" s="1055"/>
      <c r="AQ104" s="1055"/>
      <c r="AR104" s="1055"/>
      <c r="AS104" s="1055"/>
      <c r="AT104" s="1055"/>
      <c r="AU104" s="1055"/>
      <c r="AV104" s="1055"/>
      <c r="AW104" s="1055"/>
      <c r="AX104" s="1055"/>
      <c r="AY104" s="1055"/>
      <c r="AZ104" s="1055"/>
      <c r="BA104" s="1055"/>
      <c r="BB104" s="1055"/>
      <c r="BC104" s="1055"/>
      <c r="BD104" s="1055"/>
      <c r="BE104" s="1055"/>
      <c r="BF104" s="1055"/>
      <c r="BG104" s="1055"/>
      <c r="BH104" s="1055"/>
      <c r="BI104" s="1055"/>
      <c r="BJ104" s="1055"/>
      <c r="BK104" s="1055"/>
      <c r="BL104" s="1055"/>
      <c r="BM104" s="1055"/>
      <c r="BN104" s="1055"/>
      <c r="BO104" s="1055"/>
      <c r="BP104" s="1055"/>
      <c r="BQ104" s="1055"/>
      <c r="BR104" s="1055"/>
      <c r="BS104" s="1055"/>
      <c r="BT104" s="1055"/>
      <c r="BU104" s="1055"/>
      <c r="BV104" s="1056"/>
      <c r="BW104" s="1047">
        <f>'CH Equipe'!BD119</f>
        <v>8</v>
      </c>
      <c r="BX104" s="1044"/>
      <c r="BY104" s="1044"/>
      <c r="BZ104" s="1044"/>
      <c r="CA104" s="1044"/>
      <c r="CB104" s="1044"/>
      <c r="CC104" s="1044"/>
      <c r="CD104" s="1044"/>
      <c r="CE104" s="1044"/>
      <c r="CF104" s="70"/>
      <c r="CG104" s="70"/>
      <c r="CH104" s="961"/>
      <c r="CI104" s="961"/>
      <c r="CJ104" s="961"/>
      <c r="CK104" s="961"/>
      <c r="CL104" s="961"/>
      <c r="CM104" s="961"/>
      <c r="CN104" s="961"/>
      <c r="CO104" s="961"/>
      <c r="CP104" s="961"/>
      <c r="CQ104" s="961"/>
      <c r="CR104" s="961"/>
      <c r="CS104" s="961"/>
      <c r="CT104" s="70"/>
      <c r="CU104" s="1057">
        <f>SUM('[1]CH Equipe'!BE144:BM144)</f>
        <v>0</v>
      </c>
      <c r="CV104" s="1058"/>
      <c r="CW104" s="1058"/>
      <c r="CX104" s="1058"/>
      <c r="CY104" s="1058"/>
      <c r="CZ104" s="1058"/>
      <c r="DA104" s="1058"/>
      <c r="DB104" s="1058"/>
      <c r="DC104" s="1058"/>
      <c r="DD104" s="1058"/>
      <c r="DE104" s="1058"/>
      <c r="DF104" s="1059"/>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70"/>
      <c r="FK104" s="70"/>
      <c r="FL104" s="70"/>
      <c r="FM104" s="70"/>
      <c r="FN104" s="70"/>
      <c r="FO104" s="70"/>
      <c r="FP104" s="70"/>
      <c r="FQ104" s="70"/>
      <c r="FR104" s="70"/>
      <c r="FS104" s="70"/>
      <c r="FT104" s="69"/>
      <c r="FU104" s="69"/>
      <c r="FV104" s="69"/>
      <c r="FW104" s="69"/>
      <c r="FX104" s="69"/>
      <c r="FY104" s="69"/>
      <c r="FZ104" s="69"/>
      <c r="GA104" s="69"/>
      <c r="GB104" s="69"/>
      <c r="GC104" s="69"/>
      <c r="GD104" s="69"/>
      <c r="GE104" s="69"/>
      <c r="GF104" s="69"/>
      <c r="GG104" s="69"/>
      <c r="GH104" s="69"/>
      <c r="GI104" s="69"/>
      <c r="GJ104" s="69"/>
      <c r="GK104" s="69"/>
      <c r="GL104" s="69"/>
      <c r="GM104" s="69"/>
      <c r="GN104" s="69"/>
      <c r="GO104" s="69"/>
      <c r="GP104" s="69"/>
      <c r="GQ104" s="69"/>
      <c r="GR104" s="69"/>
      <c r="GS104" s="69"/>
      <c r="GT104" s="69"/>
      <c r="GU104" s="69"/>
      <c r="GV104" s="69"/>
      <c r="GW104" s="69"/>
      <c r="GX104" s="69"/>
      <c r="GY104" s="69"/>
      <c r="GZ104" s="69"/>
    </row>
    <row r="105" spans="5:209" s="68" customFormat="1" ht="13.5" customHeight="1" thickBot="1" x14ac:dyDescent="0.25">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70"/>
      <c r="CU105" s="47"/>
      <c r="CV105" s="47"/>
      <c r="CW105" s="47"/>
      <c r="CX105" s="47"/>
      <c r="CY105" s="47"/>
      <c r="CZ105" s="47"/>
      <c r="DA105" s="47"/>
      <c r="DB105" s="47"/>
      <c r="DC105" s="47"/>
      <c r="DD105" s="47"/>
      <c r="DE105" s="47"/>
      <c r="DF105" s="47"/>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row>
    <row r="106" spans="5:209" s="68" customFormat="1" ht="13.5" customHeight="1" thickTop="1" x14ac:dyDescent="0.2">
      <c r="E106" s="226"/>
      <c r="F106" s="226"/>
      <c r="G106" s="226"/>
      <c r="H106" s="226"/>
      <c r="I106" s="226"/>
      <c r="J106" s="226"/>
      <c r="K106" s="226"/>
      <c r="L106" s="226"/>
      <c r="M106" s="226"/>
      <c r="N106" s="226"/>
      <c r="O106" s="226"/>
      <c r="P106" s="226"/>
      <c r="Q106" s="226"/>
      <c r="R106" s="226"/>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47"/>
      <c r="CG106" s="47"/>
      <c r="CH106" s="47"/>
      <c r="CI106" s="47"/>
      <c r="CJ106" s="47"/>
      <c r="CK106" s="47"/>
      <c r="CL106" s="47"/>
      <c r="CM106" s="47"/>
      <c r="CN106" s="47"/>
      <c r="CO106" s="47"/>
      <c r="CP106" s="47"/>
      <c r="CQ106" s="47"/>
      <c r="CR106" s="47"/>
      <c r="CS106" s="47"/>
      <c r="CT106" s="70"/>
      <c r="CU106" s="47"/>
      <c r="CV106" s="47"/>
      <c r="CW106" s="47"/>
      <c r="CX106" s="47"/>
      <c r="CY106" s="47"/>
      <c r="CZ106" s="47"/>
      <c r="DA106" s="47"/>
      <c r="DB106" s="47"/>
      <c r="DC106" s="47"/>
      <c r="DD106" s="47"/>
      <c r="DE106" s="47"/>
      <c r="DF106" s="47"/>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row>
    <row r="107" spans="5:209" s="68" customFormat="1" ht="41.25" customHeight="1" x14ac:dyDescent="0.2">
      <c r="E107" s="1054" t="s">
        <v>659</v>
      </c>
      <c r="F107" s="1054"/>
      <c r="G107" s="1054"/>
      <c r="H107" s="1054"/>
      <c r="I107" s="1054"/>
      <c r="J107" s="1054"/>
      <c r="K107" s="1054"/>
      <c r="L107" s="1054"/>
      <c r="M107" s="1054"/>
      <c r="N107" s="1054"/>
      <c r="O107" s="1054"/>
      <c r="P107" s="1054"/>
      <c r="S107" s="1063" t="s">
        <v>660</v>
      </c>
      <c r="T107" s="1063"/>
      <c r="U107" s="1063"/>
      <c r="V107" s="1063"/>
      <c r="W107" s="1063"/>
      <c r="X107" s="1063"/>
      <c r="Y107" s="1063"/>
      <c r="Z107" s="1063"/>
      <c r="AA107" s="1063"/>
      <c r="AB107" s="1063"/>
      <c r="AC107" s="1063"/>
      <c r="AD107" s="1063"/>
      <c r="AE107" s="1063"/>
      <c r="AF107" s="1063"/>
      <c r="AG107" s="1063"/>
      <c r="AH107" s="1063"/>
      <c r="AI107" s="1063"/>
      <c r="AJ107" s="1063"/>
      <c r="AK107" s="1063"/>
      <c r="AL107" s="1063"/>
      <c r="AM107" s="1063"/>
      <c r="AN107" s="1063"/>
      <c r="AO107" s="1063"/>
      <c r="AP107" s="1063"/>
      <c r="AQ107" s="1063"/>
      <c r="AR107" s="1063"/>
      <c r="AS107" s="1063"/>
      <c r="AT107" s="1063"/>
      <c r="AU107" s="1063"/>
      <c r="AV107" s="1063"/>
      <c r="AW107" s="1063"/>
      <c r="AX107" s="1063"/>
      <c r="AY107" s="1063"/>
      <c r="AZ107" s="1063"/>
      <c r="BA107" s="1063"/>
      <c r="BB107" s="1063"/>
      <c r="BC107" s="70"/>
      <c r="BD107" s="1063" t="s">
        <v>670</v>
      </c>
      <c r="BE107" s="1063"/>
      <c r="BF107" s="1063"/>
      <c r="BG107" s="1063"/>
      <c r="BH107" s="1063"/>
      <c r="BI107" s="1063"/>
      <c r="BJ107" s="1063"/>
      <c r="BK107" s="1063"/>
      <c r="BL107" s="1063"/>
      <c r="BM107" s="70"/>
      <c r="BN107" s="1063" t="s">
        <v>661</v>
      </c>
      <c r="BO107" s="1063"/>
      <c r="BP107" s="1063"/>
      <c r="BQ107" s="1063"/>
      <c r="BR107" s="1063"/>
      <c r="BS107" s="1063"/>
      <c r="BT107" s="1063"/>
      <c r="BU107" s="1063"/>
      <c r="BV107" s="1063"/>
      <c r="BW107" s="1063" t="s">
        <v>662</v>
      </c>
      <c r="BX107" s="1063"/>
      <c r="BY107" s="1063"/>
      <c r="BZ107" s="1063"/>
      <c r="CA107" s="1063"/>
      <c r="CB107" s="1063"/>
      <c r="CC107" s="1063"/>
      <c r="CD107" s="1063"/>
      <c r="CE107" s="1063"/>
      <c r="CF107" s="76"/>
      <c r="CG107" s="70"/>
      <c r="CH107" s="1052" t="s">
        <v>671</v>
      </c>
      <c r="CI107" s="1052"/>
      <c r="CJ107" s="1052"/>
      <c r="CK107" s="1052"/>
      <c r="CL107" s="1052"/>
      <c r="CM107" s="1052"/>
      <c r="CN107" s="1052"/>
      <c r="CO107" s="1052"/>
      <c r="CP107" s="1052"/>
      <c r="CQ107" s="1052"/>
      <c r="CR107" s="1052"/>
      <c r="CS107" s="1053"/>
      <c r="CT107" s="70"/>
      <c r="CU107" s="1052" t="s">
        <v>672</v>
      </c>
      <c r="CV107" s="1052"/>
      <c r="CW107" s="1052"/>
      <c r="CX107" s="1052"/>
      <c r="CY107" s="1052"/>
      <c r="CZ107" s="1052"/>
      <c r="DA107" s="1052"/>
      <c r="DB107" s="1052"/>
      <c r="DC107" s="1052"/>
      <c r="DD107" s="1052"/>
      <c r="DE107" s="1052"/>
      <c r="DF107" s="1053"/>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941"/>
      <c r="FK107" s="941"/>
      <c r="FL107" s="941"/>
      <c r="FM107" s="941"/>
      <c r="FN107" s="941"/>
      <c r="FO107" s="941"/>
      <c r="FP107" s="941"/>
      <c r="FQ107" s="941"/>
      <c r="FR107" s="941"/>
      <c r="FS107" s="941"/>
      <c r="FT107" s="75"/>
      <c r="FU107" s="75"/>
      <c r="FV107" s="75"/>
      <c r="FW107" s="75"/>
      <c r="FX107" s="75"/>
      <c r="FY107" s="75"/>
      <c r="FZ107" s="75"/>
      <c r="GA107" s="75"/>
      <c r="GB107" s="75"/>
      <c r="GC107" s="75"/>
      <c r="GD107" s="941"/>
      <c r="GE107" s="941"/>
      <c r="GF107" s="76"/>
      <c r="GG107" s="76"/>
      <c r="GH107" s="76"/>
      <c r="GI107" s="76"/>
      <c r="GJ107" s="76"/>
      <c r="GK107" s="76"/>
      <c r="GL107" s="76"/>
      <c r="GM107" s="76"/>
      <c r="GN107" s="76"/>
      <c r="GO107" s="941"/>
      <c r="GP107" s="941"/>
      <c r="GQ107" s="76"/>
      <c r="GR107" s="76"/>
      <c r="GS107" s="76"/>
      <c r="GT107" s="76"/>
      <c r="GU107" s="76"/>
      <c r="GV107" s="76"/>
      <c r="GW107" s="76"/>
      <c r="GX107" s="76"/>
      <c r="GY107" s="941"/>
      <c r="GZ107" s="941"/>
      <c r="HA107" s="66"/>
    </row>
    <row r="108" spans="5:209" s="68" customFormat="1" ht="13.5" customHeight="1" x14ac:dyDescent="0.2">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70"/>
      <c r="CU108" s="47"/>
      <c r="CV108" s="47"/>
      <c r="CW108" s="47"/>
      <c r="CX108" s="47"/>
      <c r="CY108" s="47"/>
      <c r="CZ108" s="47"/>
      <c r="DA108" s="47"/>
      <c r="DB108" s="47"/>
      <c r="DC108" s="47"/>
      <c r="DD108" s="47"/>
      <c r="DE108" s="47"/>
      <c r="DF108" s="47"/>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row>
    <row r="109" spans="5:209" s="68" customFormat="1" ht="68.25" customHeight="1" x14ac:dyDescent="0.2">
      <c r="E109" s="1048" t="s">
        <v>677</v>
      </c>
      <c r="F109" s="1049"/>
      <c r="G109" s="1049"/>
      <c r="H109" s="1049"/>
      <c r="I109" s="1049"/>
      <c r="J109" s="1049"/>
      <c r="K109" s="1049"/>
      <c r="L109" s="1049"/>
      <c r="M109" s="1049"/>
      <c r="N109" s="1049"/>
      <c r="O109" s="1049"/>
      <c r="P109" s="1050"/>
      <c r="Q109" s="78"/>
      <c r="R109" s="225"/>
      <c r="S109" s="1045" t="s">
        <v>678</v>
      </c>
      <c r="T109" s="1046"/>
      <c r="U109" s="1046"/>
      <c r="V109" s="1046"/>
      <c r="W109" s="1046"/>
      <c r="X109" s="1046"/>
      <c r="Y109" s="1046"/>
      <c r="Z109" s="1046"/>
      <c r="AA109" s="1046"/>
      <c r="AB109" s="1046"/>
      <c r="AC109" s="1046"/>
      <c r="AD109" s="1046"/>
      <c r="AE109" s="1046"/>
      <c r="AF109" s="1046"/>
      <c r="AG109" s="1046"/>
      <c r="AH109" s="1046"/>
      <c r="AI109" s="1046"/>
      <c r="AJ109" s="1046"/>
      <c r="AK109" s="1046"/>
      <c r="AL109" s="1046"/>
      <c r="AM109" s="1046"/>
      <c r="AN109" s="1046"/>
      <c r="AO109" s="1046"/>
      <c r="AP109" s="1046"/>
      <c r="AQ109" s="1046"/>
      <c r="AR109" s="1046"/>
      <c r="AS109" s="1046"/>
      <c r="AT109" s="1046"/>
      <c r="AU109" s="1046"/>
      <c r="AV109" s="1046"/>
      <c r="AW109" s="1046"/>
      <c r="AX109" s="1046"/>
      <c r="AY109" s="1046"/>
      <c r="AZ109" s="1046"/>
      <c r="BA109" s="1046"/>
      <c r="BB109" s="1047"/>
      <c r="BC109" s="70"/>
      <c r="BD109" s="1044">
        <f>'CH Equipe'!BS99</f>
        <v>60</v>
      </c>
      <c r="BE109" s="1044"/>
      <c r="BF109" s="1044"/>
      <c r="BG109" s="1044"/>
      <c r="BH109" s="1044"/>
      <c r="BI109" s="1044"/>
      <c r="BJ109" s="1044"/>
      <c r="BK109" s="1044"/>
      <c r="BL109" s="1044"/>
      <c r="BM109" s="70"/>
      <c r="BN109" s="1044">
        <f>'CH Equipe'!BS92</f>
        <v>634.1226999999999</v>
      </c>
      <c r="BO109" s="1044"/>
      <c r="BP109" s="1044"/>
      <c r="BQ109" s="1044"/>
      <c r="BR109" s="1044"/>
      <c r="BS109" s="1044"/>
      <c r="BT109" s="1044"/>
      <c r="BU109" s="1044"/>
      <c r="BV109" s="1044"/>
      <c r="BW109" s="1051">
        <f>BN109/11/4</f>
        <v>14.411879545454543</v>
      </c>
      <c r="BX109" s="1051"/>
      <c r="BY109" s="1051"/>
      <c r="BZ109" s="1051"/>
      <c r="CA109" s="1051"/>
      <c r="CB109" s="1051"/>
      <c r="CC109" s="1051"/>
      <c r="CD109" s="1051"/>
      <c r="CE109" s="1051"/>
      <c r="CF109" s="70">
        <f>ROUND(BW109,0)</f>
        <v>14</v>
      </c>
      <c r="CG109" s="70"/>
      <c r="CH109" s="923" t="e">
        <f>CF109*#REF!</f>
        <v>#REF!</v>
      </c>
      <c r="CI109" s="913"/>
      <c r="CJ109" s="913"/>
      <c r="CK109" s="913"/>
      <c r="CL109" s="913"/>
      <c r="CM109" s="913"/>
      <c r="CN109" s="913"/>
      <c r="CO109" s="913"/>
      <c r="CP109" s="913"/>
      <c r="CQ109" s="913"/>
      <c r="CR109" s="913"/>
      <c r="CS109" s="914"/>
      <c r="CT109" s="70"/>
      <c r="CU109" s="1041" t="e">
        <f>CH109/60</f>
        <v>#REF!</v>
      </c>
      <c r="CV109" s="1042"/>
      <c r="CW109" s="1042"/>
      <c r="CX109" s="1042"/>
      <c r="CY109" s="1042"/>
      <c r="CZ109" s="1042"/>
      <c r="DA109" s="1042"/>
      <c r="DB109" s="1042"/>
      <c r="DC109" s="1042"/>
      <c r="DD109" s="1042"/>
      <c r="DE109" s="1042"/>
      <c r="DF109" s="1043"/>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70"/>
      <c r="FK109" s="70"/>
      <c r="FL109" s="70"/>
      <c r="FM109" s="70"/>
      <c r="FN109" s="70"/>
      <c r="FO109" s="70"/>
      <c r="FP109" s="70"/>
      <c r="FQ109" s="70"/>
      <c r="FR109" s="70"/>
      <c r="FS109" s="70"/>
      <c r="FT109" s="69"/>
      <c r="FU109" s="69"/>
      <c r="FV109" s="69"/>
      <c r="FW109" s="69"/>
      <c r="FX109" s="69"/>
      <c r="FY109" s="69"/>
      <c r="FZ109" s="69"/>
      <c r="GA109" s="69"/>
      <c r="GB109" s="69"/>
      <c r="GC109" s="69"/>
      <c r="GD109" s="69"/>
      <c r="GE109" s="69"/>
      <c r="GF109" s="69"/>
      <c r="GG109" s="69"/>
      <c r="GH109" s="69"/>
      <c r="GI109" s="69"/>
      <c r="GJ109" s="69"/>
      <c r="GK109" s="69"/>
      <c r="GL109" s="69"/>
      <c r="GM109" s="69"/>
      <c r="GN109" s="69"/>
      <c r="GO109" s="69"/>
      <c r="GP109" s="69"/>
      <c r="GQ109" s="69"/>
      <c r="GR109" s="69"/>
      <c r="GS109" s="69"/>
      <c r="GT109" s="69"/>
      <c r="GU109" s="69"/>
      <c r="GV109" s="69"/>
      <c r="GW109" s="69"/>
      <c r="GX109" s="69"/>
      <c r="GY109" s="69"/>
      <c r="GZ109" s="69"/>
    </row>
    <row r="110" spans="5:209" s="68" customFormat="1" ht="24.75" customHeight="1" x14ac:dyDescent="0.2">
      <c r="E110" s="81"/>
      <c r="F110" s="81"/>
      <c r="G110" s="81"/>
      <c r="H110" s="81"/>
      <c r="I110" s="81"/>
      <c r="J110" s="81"/>
      <c r="K110" s="81"/>
      <c r="L110" s="81"/>
      <c r="M110" s="81"/>
      <c r="N110" s="81"/>
      <c r="O110" s="81"/>
      <c r="P110" s="81"/>
      <c r="Q110" s="81"/>
      <c r="R110" s="225"/>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c r="BU110" s="70"/>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70"/>
      <c r="FK110" s="70"/>
      <c r="FL110" s="70"/>
      <c r="FM110" s="70"/>
      <c r="FN110" s="70"/>
      <c r="FO110" s="70"/>
      <c r="FP110" s="70"/>
      <c r="FQ110" s="70"/>
      <c r="FR110" s="70"/>
      <c r="FS110" s="70"/>
      <c r="FT110" s="69"/>
      <c r="FU110" s="69"/>
      <c r="FV110" s="69"/>
      <c r="FW110" s="69"/>
      <c r="FX110" s="69"/>
      <c r="FY110" s="69"/>
      <c r="FZ110" s="69"/>
      <c r="GA110" s="69"/>
      <c r="GB110" s="69"/>
      <c r="GC110" s="69"/>
      <c r="GD110" s="69"/>
      <c r="GE110" s="69"/>
      <c r="GF110" s="69"/>
      <c r="GG110" s="69"/>
      <c r="GH110" s="69"/>
      <c r="GI110" s="69"/>
      <c r="GJ110" s="69"/>
      <c r="GK110" s="69"/>
      <c r="GL110" s="69"/>
      <c r="GM110" s="69"/>
      <c r="GN110" s="69"/>
      <c r="GO110" s="69"/>
      <c r="GP110" s="69"/>
      <c r="GQ110" s="69"/>
      <c r="GR110" s="69"/>
      <c r="GS110" s="69"/>
      <c r="GT110" s="69"/>
      <c r="GU110" s="69"/>
      <c r="GV110" s="69"/>
      <c r="GW110" s="69"/>
      <c r="GX110" s="69"/>
      <c r="GY110" s="69"/>
      <c r="GZ110" s="69"/>
    </row>
  </sheetData>
  <sheetProtection sheet="1" objects="1" scenarios="1"/>
  <mergeCells count="548">
    <mergeCell ref="CH5:CS5"/>
    <mergeCell ref="CU5:DF5"/>
    <mergeCell ref="FJ5:FS5"/>
    <mergeCell ref="GD5:GE5"/>
    <mergeCell ref="GO5:GP5"/>
    <mergeCell ref="GY5:GZ5"/>
    <mergeCell ref="E3:CE3"/>
    <mergeCell ref="E5:P5"/>
    <mergeCell ref="S5:BB5"/>
    <mergeCell ref="BD5:BL5"/>
    <mergeCell ref="BN5:BV5"/>
    <mergeCell ref="BW5:CE5"/>
    <mergeCell ref="W10:AK11"/>
    <mergeCell ref="AL10:BB10"/>
    <mergeCell ref="BD10:BL10"/>
    <mergeCell ref="BN10:BV10"/>
    <mergeCell ref="BW10:CE10"/>
    <mergeCell ref="CH10:CS10"/>
    <mergeCell ref="CU10:DF10"/>
    <mergeCell ref="BW7:CE7"/>
    <mergeCell ref="CH7:CS7"/>
    <mergeCell ref="CU7:DF7"/>
    <mergeCell ref="AL8:BB8"/>
    <mergeCell ref="BD8:BL8"/>
    <mergeCell ref="BN8:BV8"/>
    <mergeCell ref="BW8:CE8"/>
    <mergeCell ref="CH8:CS8"/>
    <mergeCell ref="CU8:DF8"/>
    <mergeCell ref="AL7:BB7"/>
    <mergeCell ref="BD7:BL7"/>
    <mergeCell ref="BN7:BV7"/>
    <mergeCell ref="W9:AK9"/>
    <mergeCell ref="AL9:BB9"/>
    <mergeCell ref="BD9:BL9"/>
    <mergeCell ref="BN9:BV9"/>
    <mergeCell ref="AL11:BB11"/>
    <mergeCell ref="BD11:BL11"/>
    <mergeCell ref="BN11:BV11"/>
    <mergeCell ref="BW11:CE11"/>
    <mergeCell ref="CH11:CS11"/>
    <mergeCell ref="CU11:DF11"/>
    <mergeCell ref="BW9:CE9"/>
    <mergeCell ref="CH9:CS9"/>
    <mergeCell ref="CU9:DF9"/>
    <mergeCell ref="CU12:DF12"/>
    <mergeCell ref="AL13:BB13"/>
    <mergeCell ref="BD13:BL13"/>
    <mergeCell ref="BN13:BV13"/>
    <mergeCell ref="BW13:CE13"/>
    <mergeCell ref="CH13:CS13"/>
    <mergeCell ref="CU13:DF13"/>
    <mergeCell ref="W12:AK13"/>
    <mergeCell ref="AL12:BB12"/>
    <mergeCell ref="BD12:BL12"/>
    <mergeCell ref="BN12:BV12"/>
    <mergeCell ref="BW12:CE12"/>
    <mergeCell ref="CH12:CS12"/>
    <mergeCell ref="CU14:DF14"/>
    <mergeCell ref="AL15:BB15"/>
    <mergeCell ref="BD15:BL15"/>
    <mergeCell ref="BN15:BV15"/>
    <mergeCell ref="BW15:CE15"/>
    <mergeCell ref="CH15:CS15"/>
    <mergeCell ref="CU15:DF15"/>
    <mergeCell ref="W14:AK15"/>
    <mergeCell ref="AL14:BB14"/>
    <mergeCell ref="BD14:BL14"/>
    <mergeCell ref="BN14:BV14"/>
    <mergeCell ref="BW14:CE14"/>
    <mergeCell ref="CH14:CS14"/>
    <mergeCell ref="CU16:DF16"/>
    <mergeCell ref="AL17:BB17"/>
    <mergeCell ref="BD17:BL17"/>
    <mergeCell ref="BN17:BV17"/>
    <mergeCell ref="BW17:CE17"/>
    <mergeCell ref="CH17:CS17"/>
    <mergeCell ref="CU17:DF17"/>
    <mergeCell ref="W16:AK17"/>
    <mergeCell ref="AL16:BB16"/>
    <mergeCell ref="BD16:BL16"/>
    <mergeCell ref="BN16:BV16"/>
    <mergeCell ref="BW16:CE16"/>
    <mergeCell ref="CH16:CS16"/>
    <mergeCell ref="CU25:DF25"/>
    <mergeCell ref="S26:AK26"/>
    <mergeCell ref="AL26:BB26"/>
    <mergeCell ref="BD26:BL26"/>
    <mergeCell ref="CH26:CS26"/>
    <mergeCell ref="CU26:DF26"/>
    <mergeCell ref="CU27:DF27"/>
    <mergeCell ref="S24:AK24"/>
    <mergeCell ref="AL24:BB24"/>
    <mergeCell ref="BD24:BL24"/>
    <mergeCell ref="CH24:CS24"/>
    <mergeCell ref="CU24:DF24"/>
    <mergeCell ref="S25:AK25"/>
    <mergeCell ref="AL25:BB25"/>
    <mergeCell ref="BD25:BL25"/>
    <mergeCell ref="BW25:CE25"/>
    <mergeCell ref="CH25:CS25"/>
    <mergeCell ref="AL28:BB28"/>
    <mergeCell ref="BD28:BL28"/>
    <mergeCell ref="CH28:CS28"/>
    <mergeCell ref="CU28:DF28"/>
    <mergeCell ref="S27:AK27"/>
    <mergeCell ref="AL27:BB27"/>
    <mergeCell ref="BD27:BL27"/>
    <mergeCell ref="BN27:BV27"/>
    <mergeCell ref="BW27:CE27"/>
    <mergeCell ref="CH27:CS27"/>
    <mergeCell ref="E7:P31"/>
    <mergeCell ref="W7:AK8"/>
    <mergeCell ref="FJ34:FS34"/>
    <mergeCell ref="GD34:GE34"/>
    <mergeCell ref="BN21:BV21"/>
    <mergeCell ref="BW21:CE21"/>
    <mergeCell ref="W18:AK19"/>
    <mergeCell ref="AL18:BB18"/>
    <mergeCell ref="CH30:CS30"/>
    <mergeCell ref="CU30:DF30"/>
    <mergeCell ref="BW31:CE31"/>
    <mergeCell ref="CH31:CS31"/>
    <mergeCell ref="CU31:DF31"/>
    <mergeCell ref="E34:P34"/>
    <mergeCell ref="S34:BB34"/>
    <mergeCell ref="BD34:BL34"/>
    <mergeCell ref="BN34:BV34"/>
    <mergeCell ref="BW34:CE34"/>
    <mergeCell ref="BW29:CE29"/>
    <mergeCell ref="CH29:CS29"/>
    <mergeCell ref="CU29:DF29"/>
    <mergeCell ref="S30:AK30"/>
    <mergeCell ref="AL30:BB30"/>
    <mergeCell ref="BD30:BL30"/>
    <mergeCell ref="BW37:CE37"/>
    <mergeCell ref="CH37:CS37"/>
    <mergeCell ref="CU37:DF37"/>
    <mergeCell ref="BW38:CE38"/>
    <mergeCell ref="GO34:GP34"/>
    <mergeCell ref="GY34:GZ34"/>
    <mergeCell ref="E36:P61"/>
    <mergeCell ref="AL36:BB36"/>
    <mergeCell ref="BD36:BL36"/>
    <mergeCell ref="BN36:BV36"/>
    <mergeCell ref="BW36:CE36"/>
    <mergeCell ref="CH36:CS36"/>
    <mergeCell ref="CU36:DF36"/>
    <mergeCell ref="AL37:BB37"/>
    <mergeCell ref="CH34:CS34"/>
    <mergeCell ref="CU34:DF34"/>
    <mergeCell ref="W43:AK44"/>
    <mergeCell ref="W48:AK49"/>
    <mergeCell ref="BN47:BV47"/>
    <mergeCell ref="BW47:CE47"/>
    <mergeCell ref="BW41:CE41"/>
    <mergeCell ref="CH41:CS41"/>
    <mergeCell ref="CU41:DF41"/>
    <mergeCell ref="AL42:BB42"/>
    <mergeCell ref="BD42:BL42"/>
    <mergeCell ref="BW39:CE39"/>
    <mergeCell ref="CH39:CS39"/>
    <mergeCell ref="CU39:DF39"/>
    <mergeCell ref="BN40:BV40"/>
    <mergeCell ref="BW40:CE40"/>
    <mergeCell ref="CH40:CS40"/>
    <mergeCell ref="CU40:DF40"/>
    <mergeCell ref="AL39:BB39"/>
    <mergeCell ref="BD39:BL39"/>
    <mergeCell ref="BN39:BV39"/>
    <mergeCell ref="AL40:BB40"/>
    <mergeCell ref="BD40:BL40"/>
    <mergeCell ref="BN42:BV42"/>
    <mergeCell ref="BW42:CE42"/>
    <mergeCell ref="CH42:CS42"/>
    <mergeCell ref="CU42:DF42"/>
    <mergeCell ref="GY64:GZ64"/>
    <mergeCell ref="E66:P82"/>
    <mergeCell ref="S66:V74"/>
    <mergeCell ref="W66:AK66"/>
    <mergeCell ref="AL66:BB66"/>
    <mergeCell ref="BD66:BL66"/>
    <mergeCell ref="GD64:GE64"/>
    <mergeCell ref="GO64:GP64"/>
    <mergeCell ref="CU68:DF68"/>
    <mergeCell ref="W68:AK68"/>
    <mergeCell ref="CH66:CS66"/>
    <mergeCell ref="CU66:DF66"/>
    <mergeCell ref="W67:AK67"/>
    <mergeCell ref="AL67:BB67"/>
    <mergeCell ref="BD67:BL67"/>
    <mergeCell ref="BN67:BV67"/>
    <mergeCell ref="BW67:CE67"/>
    <mergeCell ref="BN66:BV66"/>
    <mergeCell ref="BW66:CE66"/>
    <mergeCell ref="AL68:BB68"/>
    <mergeCell ref="BD68:BL68"/>
    <mergeCell ref="BN68:BV68"/>
    <mergeCell ref="BW68:CE68"/>
    <mergeCell ref="CH68:CS68"/>
    <mergeCell ref="CH45:CS45"/>
    <mergeCell ref="CU45:DF45"/>
    <mergeCell ref="AL46:BB46"/>
    <mergeCell ref="BD46:BL46"/>
    <mergeCell ref="BN46:BV46"/>
    <mergeCell ref="BW46:CE46"/>
    <mergeCell ref="CH46:CS46"/>
    <mergeCell ref="CU46:DF46"/>
    <mergeCell ref="AL43:BB43"/>
    <mergeCell ref="BD43:BL43"/>
    <mergeCell ref="BN43:BV43"/>
    <mergeCell ref="BN45:BV45"/>
    <mergeCell ref="BW45:CE45"/>
    <mergeCell ref="AL45:BB45"/>
    <mergeCell ref="BD45:BL45"/>
    <mergeCell ref="CU43:DF43"/>
    <mergeCell ref="AL44:BB44"/>
    <mergeCell ref="BD44:BL44"/>
    <mergeCell ref="BN44:BV44"/>
    <mergeCell ref="BW44:CE44"/>
    <mergeCell ref="CH44:CS44"/>
    <mergeCell ref="CU44:DF44"/>
    <mergeCell ref="CH43:CS43"/>
    <mergeCell ref="BW43:CE43"/>
    <mergeCell ref="BW48:CE48"/>
    <mergeCell ref="AL49:BB49"/>
    <mergeCell ref="BD49:BL49"/>
    <mergeCell ref="BN49:BV49"/>
    <mergeCell ref="BW49:CE49"/>
    <mergeCell ref="FJ64:FS64"/>
    <mergeCell ref="BW57:CE57"/>
    <mergeCell ref="CH57:CS57"/>
    <mergeCell ref="CU55:DF55"/>
    <mergeCell ref="BW59:CE59"/>
    <mergeCell ref="AL48:BB48"/>
    <mergeCell ref="BD48:BL48"/>
    <mergeCell ref="BN48:BV48"/>
    <mergeCell ref="CH56:CS56"/>
    <mergeCell ref="CU56:DF56"/>
    <mergeCell ref="CU57:DF57"/>
    <mergeCell ref="CH59:CS59"/>
    <mergeCell ref="S61:BV61"/>
    <mergeCell ref="W50:AK51"/>
    <mergeCell ref="AL50:BB50"/>
    <mergeCell ref="BD50:BL50"/>
    <mergeCell ref="BN50:BV50"/>
    <mergeCell ref="W22:AK23"/>
    <mergeCell ref="CU59:DF59"/>
    <mergeCell ref="S59:BV59"/>
    <mergeCell ref="CH64:CS64"/>
    <mergeCell ref="CU64:DF64"/>
    <mergeCell ref="S60:AK60"/>
    <mergeCell ref="AL60:BB60"/>
    <mergeCell ref="BD60:BL60"/>
    <mergeCell ref="CH60:CS60"/>
    <mergeCell ref="CU60:DF60"/>
    <mergeCell ref="CH61:CS61"/>
    <mergeCell ref="S58:AK58"/>
    <mergeCell ref="AL58:BB58"/>
    <mergeCell ref="BD58:BL58"/>
    <mergeCell ref="CH58:CS58"/>
    <mergeCell ref="CU58:DF58"/>
    <mergeCell ref="S57:AK57"/>
    <mergeCell ref="AL57:BB57"/>
    <mergeCell ref="BD57:BL57"/>
    <mergeCell ref="BN57:BV57"/>
    <mergeCell ref="S56:AK56"/>
    <mergeCell ref="AL56:BB56"/>
    <mergeCell ref="BD56:BL56"/>
    <mergeCell ref="BW22:CE22"/>
    <mergeCell ref="AL23:BB23"/>
    <mergeCell ref="BD23:BL23"/>
    <mergeCell ref="BN23:BV23"/>
    <mergeCell ref="BW23:CE23"/>
    <mergeCell ref="BD18:BL18"/>
    <mergeCell ref="BN18:BV18"/>
    <mergeCell ref="BW18:CE18"/>
    <mergeCell ref="AL19:BB19"/>
    <mergeCell ref="BD19:BL19"/>
    <mergeCell ref="BN19:BV19"/>
    <mergeCell ref="BW19:CE19"/>
    <mergeCell ref="AL20:BB20"/>
    <mergeCell ref="BD20:BL20"/>
    <mergeCell ref="BN20:BV20"/>
    <mergeCell ref="BW20:CE20"/>
    <mergeCell ref="AL21:BB21"/>
    <mergeCell ref="BD21:BL21"/>
    <mergeCell ref="S7:V23"/>
    <mergeCell ref="S29:BV29"/>
    <mergeCell ref="S31:BV31"/>
    <mergeCell ref="W36:AK37"/>
    <mergeCell ref="W39:AK40"/>
    <mergeCell ref="W41:AK42"/>
    <mergeCell ref="S36:V53"/>
    <mergeCell ref="W45:AK47"/>
    <mergeCell ref="AL47:BB47"/>
    <mergeCell ref="BD47:BL47"/>
    <mergeCell ref="AL22:BB22"/>
    <mergeCell ref="BD22:BL22"/>
    <mergeCell ref="BN22:BV22"/>
    <mergeCell ref="W20:AK21"/>
    <mergeCell ref="AL41:BB41"/>
    <mergeCell ref="BD41:BL41"/>
    <mergeCell ref="BN41:BV41"/>
    <mergeCell ref="W38:AK38"/>
    <mergeCell ref="AL38:BB38"/>
    <mergeCell ref="BD38:BL38"/>
    <mergeCell ref="BN38:BV38"/>
    <mergeCell ref="BD37:BL37"/>
    <mergeCell ref="BN37:BV37"/>
    <mergeCell ref="S28:AK28"/>
    <mergeCell ref="BW50:CE50"/>
    <mergeCell ref="AL51:BB51"/>
    <mergeCell ref="BD51:BL51"/>
    <mergeCell ref="BN51:BV51"/>
    <mergeCell ref="BW51:CE51"/>
    <mergeCell ref="E64:P64"/>
    <mergeCell ref="S64:BB64"/>
    <mergeCell ref="BD64:BL64"/>
    <mergeCell ref="BN64:BV64"/>
    <mergeCell ref="BW64:CE64"/>
    <mergeCell ref="BW61:CE61"/>
    <mergeCell ref="BW55:CE55"/>
    <mergeCell ref="CU61:DF61"/>
    <mergeCell ref="W52:AK53"/>
    <mergeCell ref="AL52:BB52"/>
    <mergeCell ref="BD52:BL52"/>
    <mergeCell ref="BN52:BV52"/>
    <mergeCell ref="BW52:CE52"/>
    <mergeCell ref="AL53:BB53"/>
    <mergeCell ref="BD53:BL53"/>
    <mergeCell ref="BN53:BV53"/>
    <mergeCell ref="BW53:CE53"/>
    <mergeCell ref="S54:AK54"/>
    <mergeCell ref="AL54:BB54"/>
    <mergeCell ref="BD54:BL54"/>
    <mergeCell ref="CH54:CS54"/>
    <mergeCell ref="CU54:DF54"/>
    <mergeCell ref="S55:AK55"/>
    <mergeCell ref="AL55:BB55"/>
    <mergeCell ref="BD55:BL55"/>
    <mergeCell ref="CH55:CS55"/>
    <mergeCell ref="CU70:DF70"/>
    <mergeCell ref="W70:AK70"/>
    <mergeCell ref="AL70:BB70"/>
    <mergeCell ref="BD70:BL70"/>
    <mergeCell ref="BN70:BV70"/>
    <mergeCell ref="BW70:CE70"/>
    <mergeCell ref="CH70:CS70"/>
    <mergeCell ref="W69:AK69"/>
    <mergeCell ref="AL69:BB69"/>
    <mergeCell ref="BD69:BL69"/>
    <mergeCell ref="BN69:BV69"/>
    <mergeCell ref="BW69:CE69"/>
    <mergeCell ref="CH69:CS69"/>
    <mergeCell ref="CU69:DF69"/>
    <mergeCell ref="W72:AK72"/>
    <mergeCell ref="AL72:BB72"/>
    <mergeCell ref="BD72:BL72"/>
    <mergeCell ref="BN72:BV72"/>
    <mergeCell ref="BW72:CE72"/>
    <mergeCell ref="CU71:DF71"/>
    <mergeCell ref="W71:AK71"/>
    <mergeCell ref="AL71:BB71"/>
    <mergeCell ref="BD71:BL71"/>
    <mergeCell ref="BN71:BV71"/>
    <mergeCell ref="BW71:CE71"/>
    <mergeCell ref="CH71:CS71"/>
    <mergeCell ref="W74:AK74"/>
    <mergeCell ref="AL74:BB74"/>
    <mergeCell ref="BD74:BL74"/>
    <mergeCell ref="BN74:BV74"/>
    <mergeCell ref="BW74:CE74"/>
    <mergeCell ref="W73:AK73"/>
    <mergeCell ref="AL73:BB73"/>
    <mergeCell ref="BD73:BL73"/>
    <mergeCell ref="BN73:BV73"/>
    <mergeCell ref="BW73:CE73"/>
    <mergeCell ref="CU76:DF76"/>
    <mergeCell ref="S77:AK77"/>
    <mergeCell ref="AL77:BB77"/>
    <mergeCell ref="BD77:BL77"/>
    <mergeCell ref="CH77:CS77"/>
    <mergeCell ref="CU77:DF77"/>
    <mergeCell ref="CU78:DF78"/>
    <mergeCell ref="S75:AK75"/>
    <mergeCell ref="AL75:BB75"/>
    <mergeCell ref="BD75:BL75"/>
    <mergeCell ref="CH75:CS75"/>
    <mergeCell ref="CU75:DF75"/>
    <mergeCell ref="S76:AK76"/>
    <mergeCell ref="AL76:BB76"/>
    <mergeCell ref="BD76:BL76"/>
    <mergeCell ref="BW76:CE76"/>
    <mergeCell ref="CH76:CS76"/>
    <mergeCell ref="S79:AK79"/>
    <mergeCell ref="AL79:BB79"/>
    <mergeCell ref="BD79:BL79"/>
    <mergeCell ref="CH79:CS79"/>
    <mergeCell ref="CU79:DF79"/>
    <mergeCell ref="S78:AK78"/>
    <mergeCell ref="AL78:BB78"/>
    <mergeCell ref="BD78:BL78"/>
    <mergeCell ref="BN78:BV78"/>
    <mergeCell ref="BW78:CE78"/>
    <mergeCell ref="CH78:CS78"/>
    <mergeCell ref="S80:BV80"/>
    <mergeCell ref="BW80:CE80"/>
    <mergeCell ref="CH80:CS80"/>
    <mergeCell ref="CU80:DF80"/>
    <mergeCell ref="S81:AK81"/>
    <mergeCell ref="AL81:BB81"/>
    <mergeCell ref="BD81:BL81"/>
    <mergeCell ref="CH81:CS81"/>
    <mergeCell ref="CU81:DF81"/>
    <mergeCell ref="S82:BV82"/>
    <mergeCell ref="BW82:CE82"/>
    <mergeCell ref="CH82:CS82"/>
    <mergeCell ref="CU82:DF82"/>
    <mergeCell ref="E85:P85"/>
    <mergeCell ref="S85:BB85"/>
    <mergeCell ref="BD85:BL85"/>
    <mergeCell ref="BN85:BV85"/>
    <mergeCell ref="BW85:CE85"/>
    <mergeCell ref="CH85:CS85"/>
    <mergeCell ref="CU85:DF85"/>
    <mergeCell ref="FJ85:FS85"/>
    <mergeCell ref="GD85:GE85"/>
    <mergeCell ref="GO85:GP85"/>
    <mergeCell ref="GY85:GZ85"/>
    <mergeCell ref="E87:P104"/>
    <mergeCell ref="S87:V95"/>
    <mergeCell ref="W87:AK87"/>
    <mergeCell ref="AL87:BB87"/>
    <mergeCell ref="BD87:BL87"/>
    <mergeCell ref="BN87:BV87"/>
    <mergeCell ref="BW87:CE87"/>
    <mergeCell ref="CH87:CS87"/>
    <mergeCell ref="CU87:DF87"/>
    <mergeCell ref="W88:AK88"/>
    <mergeCell ref="AL88:BB88"/>
    <mergeCell ref="BD88:BL88"/>
    <mergeCell ref="BN88:BV88"/>
    <mergeCell ref="BW88:CE88"/>
    <mergeCell ref="CU89:DF89"/>
    <mergeCell ref="W90:AK90"/>
    <mergeCell ref="AL90:BB90"/>
    <mergeCell ref="BD90:BL90"/>
    <mergeCell ref="BN90:BV90"/>
    <mergeCell ref="BW90:CE90"/>
    <mergeCell ref="CH90:CS90"/>
    <mergeCell ref="CU90:DF90"/>
    <mergeCell ref="W89:AK89"/>
    <mergeCell ref="AL89:BB89"/>
    <mergeCell ref="BD89:BL89"/>
    <mergeCell ref="BN89:BV89"/>
    <mergeCell ref="BW89:CE89"/>
    <mergeCell ref="CH89:CS89"/>
    <mergeCell ref="CU91:DF91"/>
    <mergeCell ref="W92:AK92"/>
    <mergeCell ref="AL92:BB92"/>
    <mergeCell ref="BD92:BL92"/>
    <mergeCell ref="BN92:BV92"/>
    <mergeCell ref="BW92:CE92"/>
    <mergeCell ref="CH92:CS92"/>
    <mergeCell ref="CU92:DF92"/>
    <mergeCell ref="W91:AK91"/>
    <mergeCell ref="AL91:BB91"/>
    <mergeCell ref="BD91:BL91"/>
    <mergeCell ref="BN91:BV91"/>
    <mergeCell ref="BW91:CE91"/>
    <mergeCell ref="CH91:CS91"/>
    <mergeCell ref="W93:AK93"/>
    <mergeCell ref="AL93:BB93"/>
    <mergeCell ref="BD93:BL93"/>
    <mergeCell ref="BN93:BV93"/>
    <mergeCell ref="BW93:CE93"/>
    <mergeCell ref="W94:AK94"/>
    <mergeCell ref="AL94:BB94"/>
    <mergeCell ref="BD94:BL94"/>
    <mergeCell ref="BN94:BV94"/>
    <mergeCell ref="BW94:CE94"/>
    <mergeCell ref="W95:AK95"/>
    <mergeCell ref="AL95:BB95"/>
    <mergeCell ref="BD95:BL95"/>
    <mergeCell ref="BN95:BV95"/>
    <mergeCell ref="BW95:CE95"/>
    <mergeCell ref="S97:AK97"/>
    <mergeCell ref="AL97:BB97"/>
    <mergeCell ref="BD97:BL97"/>
    <mergeCell ref="W96:AK96"/>
    <mergeCell ref="AL96:BB96"/>
    <mergeCell ref="CU100:DF100"/>
    <mergeCell ref="CH97:CS97"/>
    <mergeCell ref="CU97:DF97"/>
    <mergeCell ref="S98:AK98"/>
    <mergeCell ref="AL98:BB98"/>
    <mergeCell ref="BD98:BL98"/>
    <mergeCell ref="BW98:CE98"/>
    <mergeCell ref="CH98:CS98"/>
    <mergeCell ref="CU98:DF98"/>
    <mergeCell ref="FJ107:FS107"/>
    <mergeCell ref="GD107:GE107"/>
    <mergeCell ref="GO107:GP107"/>
    <mergeCell ref="GY107:GZ107"/>
    <mergeCell ref="BD96:BL96"/>
    <mergeCell ref="BN96:BV96"/>
    <mergeCell ref="BW96:CE96"/>
    <mergeCell ref="S100:BV100"/>
    <mergeCell ref="CH103:CS103"/>
    <mergeCell ref="CU103:DF103"/>
    <mergeCell ref="S107:BB107"/>
    <mergeCell ref="BD107:BL107"/>
    <mergeCell ref="BN107:BV107"/>
    <mergeCell ref="BW107:CE107"/>
    <mergeCell ref="S103:AK103"/>
    <mergeCell ref="AL103:BB103"/>
    <mergeCell ref="BD103:BL103"/>
    <mergeCell ref="S104:BV104"/>
    <mergeCell ref="BW104:CE104"/>
    <mergeCell ref="CH104:CS104"/>
    <mergeCell ref="CU104:DF104"/>
    <mergeCell ref="S101:AK101"/>
    <mergeCell ref="AL101:BB101"/>
    <mergeCell ref="BD101:BL101"/>
    <mergeCell ref="A1:P1"/>
    <mergeCell ref="CU109:DF109"/>
    <mergeCell ref="BD109:BL109"/>
    <mergeCell ref="S109:BB109"/>
    <mergeCell ref="E109:P109"/>
    <mergeCell ref="BN109:BV109"/>
    <mergeCell ref="BW109:CE109"/>
    <mergeCell ref="CH109:CS109"/>
    <mergeCell ref="CH107:CS107"/>
    <mergeCell ref="CU107:DF107"/>
    <mergeCell ref="E107:P107"/>
    <mergeCell ref="CH101:CS101"/>
    <mergeCell ref="CU101:DF101"/>
    <mergeCell ref="S102:BV102"/>
    <mergeCell ref="BW102:CE102"/>
    <mergeCell ref="CH102:CS102"/>
    <mergeCell ref="CU102:DF102"/>
    <mergeCell ref="S99:AK99"/>
    <mergeCell ref="AL99:BB99"/>
    <mergeCell ref="BD99:BL99"/>
    <mergeCell ref="CH99:CS99"/>
    <mergeCell ref="CU99:DF99"/>
    <mergeCell ref="BW100:CE100"/>
    <mergeCell ref="CH100:CS100"/>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0"/>
  <sheetViews>
    <sheetView zoomScale="90" zoomScaleNormal="90" workbookViewId="0">
      <selection activeCell="X81" sqref="X81:AF81"/>
    </sheetView>
  </sheetViews>
  <sheetFormatPr defaultRowHeight="14.25" x14ac:dyDescent="0.2"/>
  <cols>
    <col min="7" max="7" width="1.75" customWidth="1"/>
    <col min="14" max="14" width="1.625" customWidth="1"/>
  </cols>
  <sheetData>
    <row r="1" spans="1:20" x14ac:dyDescent="0.2">
      <c r="A1" s="1097" t="s">
        <v>15</v>
      </c>
      <c r="B1" s="1097"/>
      <c r="C1" s="1097"/>
      <c r="D1" s="1097"/>
      <c r="E1" s="1097"/>
      <c r="F1" s="1097"/>
      <c r="H1" s="1097" t="s">
        <v>16</v>
      </c>
      <c r="I1" s="1097"/>
      <c r="J1" s="1097"/>
      <c r="K1" s="1097"/>
      <c r="L1" s="1097"/>
      <c r="M1" s="1097"/>
      <c r="O1" s="1097" t="s">
        <v>475</v>
      </c>
      <c r="P1" s="1097"/>
      <c r="Q1" s="1097"/>
      <c r="R1" s="1097"/>
      <c r="S1" s="1097"/>
      <c r="T1" s="1097"/>
    </row>
    <row r="3" spans="1:20" x14ac:dyDescent="0.2">
      <c r="A3" s="295"/>
      <c r="B3" s="295" t="s">
        <v>794</v>
      </c>
      <c r="C3" s="295" t="s">
        <v>795</v>
      </c>
      <c r="D3" s="295" t="s">
        <v>796</v>
      </c>
      <c r="E3" s="295" t="s">
        <v>796</v>
      </c>
      <c r="F3" s="295" t="s">
        <v>794</v>
      </c>
      <c r="H3" s="295"/>
      <c r="I3" s="295" t="s">
        <v>794</v>
      </c>
      <c r="J3" s="295" t="s">
        <v>795</v>
      </c>
      <c r="K3" s="295" t="s">
        <v>796</v>
      </c>
      <c r="L3" s="295" t="s">
        <v>796</v>
      </c>
      <c r="M3" s="295" t="s">
        <v>794</v>
      </c>
      <c r="O3" s="295"/>
      <c r="P3" s="295" t="s">
        <v>794</v>
      </c>
      <c r="Q3" s="295" t="s">
        <v>795</v>
      </c>
      <c r="R3" s="295" t="s">
        <v>796</v>
      </c>
      <c r="S3" s="295" t="s">
        <v>796</v>
      </c>
      <c r="T3" s="295" t="s">
        <v>794</v>
      </c>
    </row>
    <row r="4" spans="1:20" x14ac:dyDescent="0.2">
      <c r="A4" s="296">
        <v>0.29166666666666669</v>
      </c>
      <c r="B4" s="295"/>
      <c r="C4" s="295"/>
      <c r="D4" s="295"/>
      <c r="E4" s="295"/>
      <c r="F4" s="295"/>
      <c r="H4" s="296">
        <v>0.29166666666666669</v>
      </c>
      <c r="I4" s="295"/>
      <c r="J4" s="295"/>
      <c r="K4" s="295"/>
      <c r="L4" s="295"/>
      <c r="M4" s="295"/>
      <c r="O4" s="296">
        <v>0.29166666666666669</v>
      </c>
      <c r="P4" s="299"/>
      <c r="Q4" s="299"/>
      <c r="R4" s="299"/>
      <c r="S4" s="299"/>
      <c r="T4" s="299"/>
    </row>
    <row r="5" spans="1:20" x14ac:dyDescent="0.2">
      <c r="A5" s="296">
        <v>0.33333333333333331</v>
      </c>
      <c r="B5" s="299"/>
      <c r="C5" s="299"/>
      <c r="D5" s="299"/>
      <c r="E5" s="299"/>
      <c r="F5" s="299"/>
      <c r="H5" s="296">
        <v>0.33333333333333331</v>
      </c>
      <c r="I5" s="295"/>
      <c r="J5" s="295"/>
      <c r="K5" s="295"/>
      <c r="L5" s="295"/>
      <c r="M5" s="295"/>
      <c r="O5" s="296">
        <v>0.33333333333333331</v>
      </c>
      <c r="P5" s="299"/>
      <c r="Q5" s="299"/>
      <c r="R5" s="299"/>
      <c r="S5" s="299"/>
      <c r="T5" s="299"/>
    </row>
    <row r="6" spans="1:20" x14ac:dyDescent="0.2">
      <c r="A6" s="296">
        <v>0.375</v>
      </c>
      <c r="B6" s="299"/>
      <c r="C6" s="299"/>
      <c r="D6" s="299"/>
      <c r="E6" s="299"/>
      <c r="F6" s="299"/>
      <c r="H6" s="296">
        <v>0.375</v>
      </c>
      <c r="I6" s="295"/>
      <c r="J6" s="295"/>
      <c r="K6" s="295"/>
      <c r="L6" s="295"/>
      <c r="M6" s="295"/>
      <c r="O6" s="296">
        <v>0.375</v>
      </c>
      <c r="P6" s="299"/>
      <c r="Q6" s="299"/>
      <c r="R6" s="299"/>
      <c r="S6" s="299"/>
      <c r="T6" s="299"/>
    </row>
    <row r="7" spans="1:20" x14ac:dyDescent="0.2">
      <c r="A7" s="296">
        <v>0.41666666666666669</v>
      </c>
      <c r="B7" s="299"/>
      <c r="C7" s="299"/>
      <c r="D7" s="299"/>
      <c r="E7" s="299"/>
      <c r="F7" s="299"/>
      <c r="H7" s="296">
        <v>0.41666666666666669</v>
      </c>
      <c r="I7" s="299"/>
      <c r="J7" s="299"/>
      <c r="K7" s="299"/>
      <c r="L7" s="299"/>
      <c r="M7" s="299"/>
      <c r="O7" s="296">
        <v>0.41666666666666669</v>
      </c>
      <c r="P7" s="299"/>
      <c r="Q7" s="299"/>
      <c r="R7" s="299"/>
      <c r="S7" s="299"/>
      <c r="T7" s="299"/>
    </row>
    <row r="8" spans="1:20" x14ac:dyDescent="0.2">
      <c r="A8" s="296">
        <v>0.45833333333333298</v>
      </c>
      <c r="B8" s="299"/>
      <c r="C8" s="299"/>
      <c r="D8" s="299"/>
      <c r="E8" s="299"/>
      <c r="F8" s="299"/>
      <c r="H8" s="296">
        <v>0.45833333333333298</v>
      </c>
      <c r="I8" s="299"/>
      <c r="J8" s="299"/>
      <c r="K8" s="299"/>
      <c r="L8" s="299"/>
      <c r="M8" s="299"/>
      <c r="O8" s="296">
        <v>0.45833333333333298</v>
      </c>
      <c r="P8" s="295"/>
      <c r="Q8" s="295"/>
      <c r="R8" s="295"/>
      <c r="S8" s="295"/>
      <c r="T8" s="295"/>
    </row>
    <row r="9" spans="1:20" x14ac:dyDescent="0.2">
      <c r="A9" s="296">
        <v>0.5</v>
      </c>
      <c r="B9" s="295"/>
      <c r="C9" s="295"/>
      <c r="D9" s="295"/>
      <c r="E9" s="295"/>
      <c r="F9" s="295"/>
      <c r="H9" s="296">
        <v>0.5</v>
      </c>
      <c r="I9" s="299"/>
      <c r="J9" s="299"/>
      <c r="K9" s="299"/>
      <c r="L9" s="299"/>
      <c r="M9" s="299"/>
      <c r="O9" s="296">
        <v>0.5</v>
      </c>
      <c r="P9" s="299"/>
      <c r="Q9" s="299"/>
      <c r="R9" s="299"/>
      <c r="S9" s="299"/>
      <c r="T9" s="299"/>
    </row>
    <row r="10" spans="1:20" x14ac:dyDescent="0.2">
      <c r="A10" s="296">
        <v>0.54166666666666696</v>
      </c>
      <c r="B10" s="299"/>
      <c r="C10" s="299"/>
      <c r="D10" s="299"/>
      <c r="E10" s="299"/>
      <c r="F10" s="299"/>
      <c r="H10" s="296">
        <v>0.54166666666666696</v>
      </c>
      <c r="I10" s="295"/>
      <c r="J10" s="295"/>
      <c r="K10" s="295"/>
      <c r="L10" s="295"/>
      <c r="M10" s="295"/>
      <c r="O10" s="296">
        <v>0.54166666666666696</v>
      </c>
      <c r="P10" s="299"/>
      <c r="Q10" s="299"/>
      <c r="R10" s="299"/>
      <c r="S10" s="299"/>
      <c r="T10" s="299"/>
    </row>
    <row r="11" spans="1:20" x14ac:dyDescent="0.2">
      <c r="A11" s="296">
        <v>0.58333333333333304</v>
      </c>
      <c r="B11" s="299"/>
      <c r="C11" s="299"/>
      <c r="D11" s="299"/>
      <c r="E11" s="299"/>
      <c r="F11" s="299"/>
      <c r="H11" s="296">
        <v>0.58333333333333304</v>
      </c>
      <c r="I11" s="299"/>
      <c r="J11" s="299"/>
      <c r="K11" s="299"/>
      <c r="L11" s="299"/>
      <c r="M11" s="299"/>
      <c r="O11" s="296">
        <v>0.58333333333333304</v>
      </c>
      <c r="P11" s="299"/>
      <c r="Q11" s="299"/>
      <c r="R11" s="299"/>
      <c r="S11" s="299"/>
      <c r="T11" s="299"/>
    </row>
    <row r="12" spans="1:20" x14ac:dyDescent="0.2">
      <c r="A12" s="296">
        <v>0.625</v>
      </c>
      <c r="B12" s="299"/>
      <c r="C12" s="299"/>
      <c r="D12" s="299"/>
      <c r="E12" s="299"/>
      <c r="F12" s="299"/>
      <c r="H12" s="296">
        <v>0.625</v>
      </c>
      <c r="I12" s="299"/>
      <c r="J12" s="299"/>
      <c r="K12" s="299"/>
      <c r="L12" s="299"/>
      <c r="M12" s="299"/>
      <c r="O12" s="296">
        <v>0.625</v>
      </c>
      <c r="P12" s="299"/>
      <c r="Q12" s="299"/>
      <c r="R12" s="299"/>
      <c r="S12" s="299"/>
      <c r="T12" s="299"/>
    </row>
    <row r="13" spans="1:20" x14ac:dyDescent="0.2">
      <c r="A13" s="296">
        <v>0.66666666666666696</v>
      </c>
      <c r="B13" s="299"/>
      <c r="C13" s="299"/>
      <c r="D13" s="299"/>
      <c r="E13" s="299"/>
      <c r="F13" s="299"/>
      <c r="H13" s="296">
        <v>0.66666666666666696</v>
      </c>
      <c r="I13" s="299"/>
      <c r="J13" s="299"/>
      <c r="K13" s="299"/>
      <c r="L13" s="299"/>
      <c r="M13" s="299"/>
      <c r="O13" s="296">
        <v>0.66666666666666696</v>
      </c>
      <c r="P13" s="295"/>
      <c r="Q13" s="295"/>
      <c r="R13" s="295"/>
      <c r="S13" s="295"/>
      <c r="T13" s="295"/>
    </row>
    <row r="14" spans="1:20" x14ac:dyDescent="0.2">
      <c r="A14" s="296">
        <v>0.70833333333333304</v>
      </c>
      <c r="B14" s="295"/>
      <c r="C14" s="295"/>
      <c r="D14" s="295"/>
      <c r="E14" s="295"/>
      <c r="F14" s="295"/>
      <c r="H14" s="296">
        <v>0.70833333333333304</v>
      </c>
      <c r="I14" s="299"/>
      <c r="J14" s="299"/>
      <c r="K14" s="299"/>
      <c r="L14" s="299"/>
      <c r="M14" s="299"/>
      <c r="O14" s="296">
        <v>0.70833333333333304</v>
      </c>
      <c r="P14" s="295"/>
      <c r="Q14" s="295"/>
      <c r="R14" s="295"/>
      <c r="S14" s="295"/>
      <c r="T14" s="295"/>
    </row>
    <row r="15" spans="1:20" x14ac:dyDescent="0.2">
      <c r="A15" s="296">
        <v>0.75</v>
      </c>
      <c r="B15" s="295"/>
      <c r="C15" s="295"/>
      <c r="D15" s="295"/>
      <c r="E15" s="295"/>
      <c r="F15" s="295"/>
      <c r="H15" s="296">
        <v>0.75</v>
      </c>
      <c r="I15" s="299"/>
      <c r="J15" s="299"/>
      <c r="K15" s="299"/>
      <c r="L15" s="299"/>
      <c r="M15" s="299"/>
      <c r="O15" s="296">
        <v>0.75</v>
      </c>
      <c r="P15" s="295"/>
      <c r="Q15" s="295"/>
      <c r="R15" s="295"/>
      <c r="S15" s="295"/>
      <c r="T15" s="295"/>
    </row>
    <row r="16" spans="1:20" x14ac:dyDescent="0.2">
      <c r="A16" s="294"/>
      <c r="O16" s="294"/>
    </row>
    <row r="18" spans="1:20" x14ac:dyDescent="0.2">
      <c r="A18" s="297"/>
      <c r="B18" s="297" t="s">
        <v>794</v>
      </c>
      <c r="C18" s="297" t="s">
        <v>795</v>
      </c>
      <c r="D18" s="297" t="s">
        <v>796</v>
      </c>
      <c r="E18" s="297" t="s">
        <v>796</v>
      </c>
      <c r="F18" s="297" t="s">
        <v>794</v>
      </c>
      <c r="H18" s="297"/>
      <c r="I18" s="297" t="s">
        <v>794</v>
      </c>
      <c r="J18" s="297" t="s">
        <v>795</v>
      </c>
      <c r="K18" s="297" t="s">
        <v>796</v>
      </c>
      <c r="L18" s="297" t="s">
        <v>796</v>
      </c>
      <c r="M18" s="297" t="s">
        <v>794</v>
      </c>
      <c r="O18" s="297"/>
      <c r="P18" s="297" t="s">
        <v>794</v>
      </c>
      <c r="Q18" s="297" t="s">
        <v>795</v>
      </c>
      <c r="R18" s="297" t="s">
        <v>796</v>
      </c>
      <c r="S18" s="297" t="s">
        <v>796</v>
      </c>
      <c r="T18" s="297" t="s">
        <v>794</v>
      </c>
    </row>
    <row r="19" spans="1:20" x14ac:dyDescent="0.2">
      <c r="A19" s="298">
        <v>0.29166666666666669</v>
      </c>
      <c r="B19" s="297"/>
      <c r="C19" s="297"/>
      <c r="D19" s="297"/>
      <c r="E19" s="297"/>
      <c r="F19" s="297"/>
      <c r="H19" s="298">
        <v>0.29166666666666669</v>
      </c>
      <c r="I19" s="300"/>
      <c r="J19" s="300"/>
      <c r="K19" s="300"/>
      <c r="L19" s="300"/>
      <c r="M19" s="300"/>
      <c r="O19" s="298">
        <v>0.29166666666666669</v>
      </c>
      <c r="P19" s="297"/>
      <c r="Q19" s="297"/>
      <c r="R19" s="297"/>
      <c r="S19" s="297"/>
      <c r="T19" s="297"/>
    </row>
    <row r="20" spans="1:20" x14ac:dyDescent="0.2">
      <c r="A20" s="298">
        <v>0.33333333333333331</v>
      </c>
      <c r="B20" s="297"/>
      <c r="C20" s="297"/>
      <c r="D20" s="297"/>
      <c r="E20" s="297"/>
      <c r="F20" s="297"/>
      <c r="H20" s="298">
        <v>0.33333333333333331</v>
      </c>
      <c r="I20" s="300"/>
      <c r="J20" s="300"/>
      <c r="K20" s="300"/>
      <c r="L20" s="300"/>
      <c r="M20" s="300"/>
      <c r="O20" s="298">
        <v>0.33333333333333331</v>
      </c>
      <c r="P20" s="300"/>
      <c r="Q20" s="300"/>
      <c r="R20" s="300"/>
      <c r="S20" s="300"/>
      <c r="T20" s="300"/>
    </row>
    <row r="21" spans="1:20" x14ac:dyDescent="0.2">
      <c r="A21" s="298">
        <v>0.375</v>
      </c>
      <c r="B21" s="297"/>
      <c r="C21" s="297"/>
      <c r="D21" s="297"/>
      <c r="E21" s="297"/>
      <c r="F21" s="297"/>
      <c r="H21" s="298">
        <v>0.375</v>
      </c>
      <c r="I21" s="300"/>
      <c r="J21" s="300"/>
      <c r="K21" s="300"/>
      <c r="L21" s="300"/>
      <c r="M21" s="300"/>
      <c r="O21" s="298">
        <v>0.375</v>
      </c>
      <c r="P21" s="300"/>
      <c r="Q21" s="300"/>
      <c r="R21" s="300"/>
      <c r="S21" s="300"/>
      <c r="T21" s="300"/>
    </row>
    <row r="22" spans="1:20" x14ac:dyDescent="0.2">
      <c r="A22" s="298">
        <v>0.41666666666666669</v>
      </c>
      <c r="B22" s="300"/>
      <c r="C22" s="300"/>
      <c r="D22" s="300"/>
      <c r="E22" s="300"/>
      <c r="F22" s="300"/>
      <c r="H22" s="298">
        <v>0.41666666666666669</v>
      </c>
      <c r="I22" s="300"/>
      <c r="J22" s="300"/>
      <c r="K22" s="300"/>
      <c r="L22" s="300"/>
      <c r="M22" s="300"/>
      <c r="O22" s="298">
        <v>0.41666666666666669</v>
      </c>
      <c r="P22" s="300"/>
      <c r="Q22" s="300"/>
      <c r="R22" s="300"/>
      <c r="S22" s="300"/>
      <c r="T22" s="300"/>
    </row>
    <row r="23" spans="1:20" x14ac:dyDescent="0.2">
      <c r="A23" s="298">
        <v>0.45833333333333298</v>
      </c>
      <c r="B23" s="300"/>
      <c r="C23" s="300"/>
      <c r="D23" s="300"/>
      <c r="E23" s="300"/>
      <c r="F23" s="300"/>
      <c r="H23" s="298">
        <v>0.45833333333333298</v>
      </c>
      <c r="I23" s="300"/>
      <c r="J23" s="300"/>
      <c r="K23" s="300"/>
      <c r="L23" s="300"/>
      <c r="M23" s="300"/>
      <c r="O23" s="298">
        <v>0.45833333333333298</v>
      </c>
      <c r="P23" s="300"/>
      <c r="Q23" s="300"/>
      <c r="R23" s="300"/>
      <c r="S23" s="300"/>
      <c r="T23" s="300"/>
    </row>
    <row r="24" spans="1:20" x14ac:dyDescent="0.2">
      <c r="A24" s="298">
        <v>0.5</v>
      </c>
      <c r="B24" s="300"/>
      <c r="C24" s="300"/>
      <c r="D24" s="300"/>
      <c r="E24" s="300"/>
      <c r="F24" s="300"/>
      <c r="H24" s="298">
        <v>0.5</v>
      </c>
      <c r="I24" s="297"/>
      <c r="J24" s="297"/>
      <c r="K24" s="297"/>
      <c r="L24" s="297"/>
      <c r="M24" s="297"/>
      <c r="O24" s="298">
        <v>0.5</v>
      </c>
      <c r="P24" s="297"/>
      <c r="Q24" s="297"/>
      <c r="R24" s="297"/>
      <c r="S24" s="297"/>
      <c r="T24" s="297"/>
    </row>
    <row r="25" spans="1:20" x14ac:dyDescent="0.2">
      <c r="A25" s="298">
        <v>0.54166666666666696</v>
      </c>
      <c r="B25" s="297"/>
      <c r="C25" s="297"/>
      <c r="D25" s="297"/>
      <c r="E25" s="297"/>
      <c r="F25" s="297"/>
      <c r="H25" s="298">
        <v>0.54166666666666696</v>
      </c>
      <c r="I25" s="300"/>
      <c r="J25" s="300"/>
      <c r="K25" s="300"/>
      <c r="L25" s="300"/>
      <c r="M25" s="300"/>
      <c r="O25" s="298">
        <v>0.54166666666666696</v>
      </c>
      <c r="P25" s="300"/>
      <c r="Q25" s="300"/>
      <c r="R25" s="300"/>
      <c r="S25" s="300"/>
      <c r="T25" s="300"/>
    </row>
    <row r="26" spans="1:20" x14ac:dyDescent="0.2">
      <c r="A26" s="298">
        <v>0.58333333333333304</v>
      </c>
      <c r="B26" s="300"/>
      <c r="C26" s="300"/>
      <c r="D26" s="300"/>
      <c r="E26" s="300"/>
      <c r="F26" s="300"/>
      <c r="H26" s="298">
        <v>0.58333333333333304</v>
      </c>
      <c r="I26" s="300"/>
      <c r="J26" s="300"/>
      <c r="K26" s="300"/>
      <c r="L26" s="300"/>
      <c r="M26" s="300"/>
      <c r="O26" s="298">
        <v>0.58333333333333304</v>
      </c>
      <c r="P26" s="300"/>
      <c r="Q26" s="300"/>
      <c r="R26" s="300"/>
      <c r="S26" s="300"/>
      <c r="T26" s="300"/>
    </row>
    <row r="27" spans="1:20" x14ac:dyDescent="0.2">
      <c r="A27" s="298">
        <v>0.625</v>
      </c>
      <c r="B27" s="300"/>
      <c r="C27" s="300"/>
      <c r="D27" s="300"/>
      <c r="E27" s="300"/>
      <c r="F27" s="300"/>
      <c r="H27" s="298">
        <v>0.625</v>
      </c>
      <c r="I27" s="300"/>
      <c r="J27" s="300"/>
      <c r="K27" s="300"/>
      <c r="L27" s="300"/>
      <c r="M27" s="300"/>
      <c r="O27" s="298">
        <v>0.625</v>
      </c>
      <c r="P27" s="300"/>
      <c r="Q27" s="300"/>
      <c r="R27" s="300"/>
      <c r="S27" s="300"/>
      <c r="T27" s="300"/>
    </row>
    <row r="28" spans="1:20" x14ac:dyDescent="0.2">
      <c r="A28" s="298">
        <v>0.66666666666666696</v>
      </c>
      <c r="B28" s="300"/>
      <c r="C28" s="300"/>
      <c r="D28" s="300"/>
      <c r="E28" s="300"/>
      <c r="F28" s="300"/>
      <c r="H28" s="298">
        <v>0.66666666666666696</v>
      </c>
      <c r="I28" s="297"/>
      <c r="J28" s="297"/>
      <c r="K28" s="297"/>
      <c r="L28" s="297"/>
      <c r="M28" s="297"/>
      <c r="O28" s="298">
        <v>0.66666666666666696</v>
      </c>
      <c r="P28" s="300"/>
      <c r="Q28" s="300"/>
      <c r="R28" s="300"/>
      <c r="S28" s="300"/>
      <c r="T28" s="300"/>
    </row>
    <row r="29" spans="1:20" x14ac:dyDescent="0.2">
      <c r="A29" s="298">
        <v>0.70833333333333304</v>
      </c>
      <c r="B29" s="300"/>
      <c r="C29" s="300"/>
      <c r="D29" s="300"/>
      <c r="E29" s="300"/>
      <c r="F29" s="300"/>
      <c r="H29" s="298">
        <v>0.70833333333333304</v>
      </c>
      <c r="I29" s="297"/>
      <c r="J29" s="297"/>
      <c r="K29" s="297"/>
      <c r="L29" s="297"/>
      <c r="M29" s="297"/>
      <c r="O29" s="298">
        <v>0.70833333333333304</v>
      </c>
      <c r="P29" s="297"/>
      <c r="Q29" s="297"/>
      <c r="R29" s="297"/>
      <c r="S29" s="297"/>
      <c r="T29" s="297"/>
    </row>
    <row r="30" spans="1:20" x14ac:dyDescent="0.2">
      <c r="A30" s="298">
        <v>0.75</v>
      </c>
      <c r="B30" s="300"/>
      <c r="C30" s="300"/>
      <c r="D30" s="300"/>
      <c r="E30" s="300"/>
      <c r="F30" s="300"/>
      <c r="H30" s="298">
        <v>0.75</v>
      </c>
      <c r="I30" s="297"/>
      <c r="J30" s="297"/>
      <c r="K30" s="297"/>
      <c r="L30" s="297"/>
      <c r="M30" s="297"/>
      <c r="O30" s="298">
        <v>0.75</v>
      </c>
      <c r="P30" s="297"/>
      <c r="Q30" s="297"/>
      <c r="R30" s="297"/>
      <c r="S30" s="297"/>
      <c r="T30" s="297"/>
    </row>
  </sheetData>
  <mergeCells count="3">
    <mergeCell ref="A1:F1"/>
    <mergeCell ref="H1:M1"/>
    <mergeCell ref="O1:T1"/>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T83"/>
  <sheetViews>
    <sheetView zoomScale="80" zoomScaleNormal="80" workbookViewId="0">
      <selection activeCell="X81" sqref="X81:AF81"/>
    </sheetView>
  </sheetViews>
  <sheetFormatPr defaultRowHeight="14.25" x14ac:dyDescent="0.2"/>
  <cols>
    <col min="3" max="3" width="9.625" bestFit="1" customWidth="1"/>
    <col min="7" max="8" width="9" customWidth="1"/>
    <col min="14" max="15" width="9" customWidth="1"/>
  </cols>
  <sheetData>
    <row r="4" spans="1:20" x14ac:dyDescent="0.2">
      <c r="A4" s="1138" t="s">
        <v>784</v>
      </c>
      <c r="B4" s="1138"/>
      <c r="C4" s="1138"/>
      <c r="D4" s="1138"/>
      <c r="E4" s="1138"/>
      <c r="F4" s="1138"/>
      <c r="H4" s="1138" t="s">
        <v>790</v>
      </c>
      <c r="I4" s="1138"/>
      <c r="J4" s="1138"/>
      <c r="K4" s="1138"/>
      <c r="L4" s="1138"/>
      <c r="M4" s="1138"/>
      <c r="O4" s="1138" t="s">
        <v>791</v>
      </c>
      <c r="P4" s="1138"/>
      <c r="Q4" s="1138"/>
      <c r="R4" s="1138"/>
      <c r="S4" s="1138"/>
      <c r="T4" s="1138"/>
    </row>
    <row r="5" spans="1:20" x14ac:dyDescent="0.2">
      <c r="A5" s="306"/>
      <c r="B5" s="307" t="s">
        <v>785</v>
      </c>
      <c r="C5" s="307" t="s">
        <v>786</v>
      </c>
      <c r="D5" s="307" t="s">
        <v>787</v>
      </c>
      <c r="E5" s="307" t="s">
        <v>788</v>
      </c>
      <c r="F5" s="308" t="s">
        <v>789</v>
      </c>
      <c r="H5" s="306"/>
      <c r="I5" s="307" t="s">
        <v>785</v>
      </c>
      <c r="J5" s="307" t="s">
        <v>786</v>
      </c>
      <c r="K5" s="307" t="s">
        <v>787</v>
      </c>
      <c r="L5" s="307" t="s">
        <v>788</v>
      </c>
      <c r="M5" s="308" t="s">
        <v>789</v>
      </c>
      <c r="O5" s="306"/>
      <c r="P5" s="307" t="s">
        <v>785</v>
      </c>
      <c r="Q5" s="307" t="s">
        <v>786</v>
      </c>
      <c r="R5" s="307" t="s">
        <v>787</v>
      </c>
      <c r="S5" s="307" t="s">
        <v>788</v>
      </c>
      <c r="T5" s="308" t="s">
        <v>789</v>
      </c>
    </row>
    <row r="6" spans="1:20" x14ac:dyDescent="0.2">
      <c r="A6" s="309">
        <v>0.41666666666666669</v>
      </c>
      <c r="B6" s="315" t="s">
        <v>792</v>
      </c>
      <c r="C6" s="315" t="s">
        <v>792</v>
      </c>
      <c r="D6" s="315" t="s">
        <v>792</v>
      </c>
      <c r="E6" s="315" t="s">
        <v>792</v>
      </c>
      <c r="F6" s="316" t="s">
        <v>792</v>
      </c>
      <c r="H6" s="309">
        <v>0.29166666666666669</v>
      </c>
      <c r="I6" s="320" t="s">
        <v>792</v>
      </c>
      <c r="J6" s="320" t="s">
        <v>792</v>
      </c>
      <c r="K6" s="320" t="s">
        <v>792</v>
      </c>
      <c r="L6" s="320" t="s">
        <v>792</v>
      </c>
      <c r="M6" s="322" t="s">
        <v>792</v>
      </c>
      <c r="O6" s="309">
        <v>0.33333333333333331</v>
      </c>
      <c r="P6" s="324" t="s">
        <v>792</v>
      </c>
      <c r="Q6" s="320" t="s">
        <v>792</v>
      </c>
      <c r="R6" s="320" t="s">
        <v>792</v>
      </c>
      <c r="S6" s="320" t="s">
        <v>792</v>
      </c>
      <c r="T6" s="322" t="s">
        <v>792</v>
      </c>
    </row>
    <row r="7" spans="1:20" x14ac:dyDescent="0.2">
      <c r="A7" s="310">
        <v>0.42708333333333331</v>
      </c>
      <c r="B7" s="315" t="s">
        <v>792</v>
      </c>
      <c r="C7" s="315" t="s">
        <v>792</v>
      </c>
      <c r="D7" s="315" t="s">
        <v>792</v>
      </c>
      <c r="E7" s="315" t="s">
        <v>792</v>
      </c>
      <c r="F7" s="316" t="s">
        <v>792</v>
      </c>
      <c r="H7" s="310">
        <v>0.30208333333333331</v>
      </c>
      <c r="I7" s="321" t="s">
        <v>792</v>
      </c>
      <c r="J7" s="321" t="s">
        <v>792</v>
      </c>
      <c r="K7" s="321" t="s">
        <v>792</v>
      </c>
      <c r="L7" s="321" t="s">
        <v>792</v>
      </c>
      <c r="M7" s="323" t="s">
        <v>792</v>
      </c>
      <c r="O7" s="310">
        <v>0.34375</v>
      </c>
      <c r="P7" s="325" t="s">
        <v>792</v>
      </c>
      <c r="Q7" s="321" t="s">
        <v>792</v>
      </c>
      <c r="R7" s="321" t="s">
        <v>792</v>
      </c>
      <c r="S7" s="321" t="s">
        <v>792</v>
      </c>
      <c r="T7" s="323" t="s">
        <v>792</v>
      </c>
    </row>
    <row r="8" spans="1:20" x14ac:dyDescent="0.2">
      <c r="A8" s="310">
        <v>0.4375</v>
      </c>
      <c r="B8" s="315" t="s">
        <v>792</v>
      </c>
      <c r="C8" s="315" t="s">
        <v>792</v>
      </c>
      <c r="D8" s="315" t="s">
        <v>792</v>
      </c>
      <c r="E8" s="315" t="s">
        <v>792</v>
      </c>
      <c r="F8" s="317" t="s">
        <v>792</v>
      </c>
      <c r="H8" s="310">
        <v>0.3125</v>
      </c>
      <c r="I8" s="321" t="s">
        <v>792</v>
      </c>
      <c r="J8" s="321" t="s">
        <v>792</v>
      </c>
      <c r="K8" s="321" t="s">
        <v>792</v>
      </c>
      <c r="L8" s="321" t="s">
        <v>792</v>
      </c>
      <c r="M8" s="323" t="s">
        <v>792</v>
      </c>
      <c r="O8" s="310">
        <v>0.35416666666666669</v>
      </c>
      <c r="P8" s="325" t="s">
        <v>792</v>
      </c>
      <c r="Q8" s="321" t="s">
        <v>792</v>
      </c>
      <c r="R8" s="321" t="s">
        <v>792</v>
      </c>
      <c r="S8" s="321" t="s">
        <v>792</v>
      </c>
      <c r="T8" s="323" t="s">
        <v>792</v>
      </c>
    </row>
    <row r="9" spans="1:20" x14ac:dyDescent="0.2">
      <c r="A9" s="310">
        <v>0.44791666666666669</v>
      </c>
      <c r="B9" s="315" t="s">
        <v>792</v>
      </c>
      <c r="C9" s="315" t="s">
        <v>792</v>
      </c>
      <c r="D9" s="315" t="s">
        <v>792</v>
      </c>
      <c r="E9" s="315" t="s">
        <v>792</v>
      </c>
      <c r="F9" s="317" t="s">
        <v>792</v>
      </c>
      <c r="H9" s="310">
        <v>0.32291666666666669</v>
      </c>
      <c r="I9" s="321" t="s">
        <v>792</v>
      </c>
      <c r="J9" s="321" t="s">
        <v>792</v>
      </c>
      <c r="K9" s="321" t="s">
        <v>792</v>
      </c>
      <c r="L9" s="321" t="s">
        <v>792</v>
      </c>
      <c r="M9" s="323" t="s">
        <v>792</v>
      </c>
      <c r="O9" s="310">
        <v>0.36458333333333331</v>
      </c>
      <c r="P9" s="325" t="s">
        <v>792</v>
      </c>
      <c r="Q9" s="321" t="s">
        <v>792</v>
      </c>
      <c r="R9" s="321" t="s">
        <v>792</v>
      </c>
      <c r="S9" s="321" t="s">
        <v>792</v>
      </c>
      <c r="T9" s="323" t="s">
        <v>792</v>
      </c>
    </row>
    <row r="10" spans="1:20" x14ac:dyDescent="0.2">
      <c r="A10" s="310">
        <v>0.45833333333333331</v>
      </c>
      <c r="B10" s="1113" t="s">
        <v>800</v>
      </c>
      <c r="C10" s="1115" t="s">
        <v>814</v>
      </c>
      <c r="D10" s="302" t="s">
        <v>815</v>
      </c>
      <c r="E10" s="302" t="s">
        <v>804</v>
      </c>
      <c r="F10" s="303" t="s">
        <v>797</v>
      </c>
      <c r="H10" s="310">
        <v>0.33333333333333331</v>
      </c>
      <c r="I10" s="321" t="s">
        <v>792</v>
      </c>
      <c r="J10" s="321" t="s">
        <v>792</v>
      </c>
      <c r="K10" s="321" t="s">
        <v>792</v>
      </c>
      <c r="L10" s="321" t="s">
        <v>792</v>
      </c>
      <c r="M10" s="323" t="s">
        <v>792</v>
      </c>
      <c r="O10" s="310">
        <v>0.375</v>
      </c>
      <c r="P10" s="325" t="s">
        <v>792</v>
      </c>
      <c r="Q10" s="321" t="s">
        <v>792</v>
      </c>
      <c r="R10" s="321" t="s">
        <v>792</v>
      </c>
      <c r="S10" s="321" t="s">
        <v>792</v>
      </c>
      <c r="T10" s="1123" t="s">
        <v>823</v>
      </c>
    </row>
    <row r="11" spans="1:20" x14ac:dyDescent="0.2">
      <c r="A11" s="310">
        <v>0.46875</v>
      </c>
      <c r="B11" s="1113"/>
      <c r="C11" s="1115"/>
      <c r="D11" s="302" t="s">
        <v>806</v>
      </c>
      <c r="E11" s="302" t="s">
        <v>805</v>
      </c>
      <c r="F11" s="1114" t="s">
        <v>809</v>
      </c>
      <c r="H11" s="310">
        <v>0.34375</v>
      </c>
      <c r="I11" s="321" t="s">
        <v>792</v>
      </c>
      <c r="J11" s="321" t="s">
        <v>792</v>
      </c>
      <c r="K11" s="321" t="s">
        <v>792</v>
      </c>
      <c r="L11" s="321" t="s">
        <v>792</v>
      </c>
      <c r="M11" s="323" t="s">
        <v>792</v>
      </c>
      <c r="O11" s="310">
        <v>0.38541666666666669</v>
      </c>
      <c r="P11" s="325" t="s">
        <v>792</v>
      </c>
      <c r="Q11" s="321" t="s">
        <v>792</v>
      </c>
      <c r="R11" s="321" t="s">
        <v>792</v>
      </c>
      <c r="S11" s="321" t="s">
        <v>792</v>
      </c>
      <c r="T11" s="1123"/>
    </row>
    <row r="12" spans="1:20" x14ac:dyDescent="0.2">
      <c r="A12" s="310">
        <v>0.47916666666666669</v>
      </c>
      <c r="B12" s="302" t="s">
        <v>803</v>
      </c>
      <c r="C12" s="1115"/>
      <c r="D12" s="302" t="s">
        <v>801</v>
      </c>
      <c r="E12" t="s">
        <v>810</v>
      </c>
      <c r="F12" s="1114"/>
      <c r="H12" s="310">
        <v>0.35416666666666669</v>
      </c>
      <c r="I12" s="321" t="s">
        <v>792</v>
      </c>
      <c r="J12" s="321" t="s">
        <v>792</v>
      </c>
      <c r="K12" s="321" t="s">
        <v>792</v>
      </c>
      <c r="L12" s="321" t="s">
        <v>792</v>
      </c>
      <c r="M12" s="323" t="s">
        <v>792</v>
      </c>
      <c r="O12" s="310">
        <v>0.39583333333333331</v>
      </c>
      <c r="P12" s="325" t="s">
        <v>792</v>
      </c>
      <c r="Q12" s="321" t="s">
        <v>792</v>
      </c>
      <c r="R12" s="321" t="s">
        <v>792</v>
      </c>
      <c r="S12" s="321" t="s">
        <v>792</v>
      </c>
      <c r="T12" s="1123"/>
    </row>
    <row r="13" spans="1:20" x14ac:dyDescent="0.2">
      <c r="A13" s="310">
        <v>0.48958333333333331</v>
      </c>
      <c r="B13" s="1113" t="s">
        <v>808</v>
      </c>
      <c r="C13" s="1115"/>
      <c r="D13" t="s">
        <v>798</v>
      </c>
      <c r="E13" s="302" t="s">
        <v>802</v>
      </c>
      <c r="F13" s="304" t="s">
        <v>803</v>
      </c>
      <c r="H13" s="310">
        <v>0.36458333333333331</v>
      </c>
      <c r="I13" s="321" t="s">
        <v>792</v>
      </c>
      <c r="J13" s="321" t="s">
        <v>792</v>
      </c>
      <c r="K13" s="321" t="s">
        <v>792</v>
      </c>
      <c r="L13" s="321" t="s">
        <v>792</v>
      </c>
      <c r="M13" s="323" t="s">
        <v>792</v>
      </c>
      <c r="O13" s="310">
        <v>0.40625</v>
      </c>
      <c r="P13" s="325" t="s">
        <v>792</v>
      </c>
      <c r="Q13" s="321" t="s">
        <v>792</v>
      </c>
      <c r="R13" s="321" t="s">
        <v>792</v>
      </c>
      <c r="S13" s="321" t="s">
        <v>792</v>
      </c>
      <c r="T13" s="1123"/>
    </row>
    <row r="14" spans="1:20" ht="14.25" customHeight="1" x14ac:dyDescent="0.2">
      <c r="A14" s="310">
        <v>0.5</v>
      </c>
      <c r="B14" s="1113"/>
      <c r="C14" s="1110" t="s">
        <v>812</v>
      </c>
      <c r="D14" s="1110" t="s">
        <v>812</v>
      </c>
      <c r="E14" s="1110" t="s">
        <v>812</v>
      </c>
      <c r="F14" s="1135" t="s">
        <v>812</v>
      </c>
      <c r="H14" s="310">
        <v>0.375</v>
      </c>
      <c r="I14" s="321" t="s">
        <v>792</v>
      </c>
      <c r="J14" t="s">
        <v>798</v>
      </c>
      <c r="K14" s="302" t="s">
        <v>799</v>
      </c>
      <c r="L14" t="s">
        <v>797</v>
      </c>
      <c r="M14" s="303" t="s">
        <v>803</v>
      </c>
      <c r="O14" s="310">
        <v>0.41666666666666669</v>
      </c>
      <c r="P14" s="325" t="s">
        <v>792</v>
      </c>
      <c r="Q14" s="321" t="s">
        <v>792</v>
      </c>
      <c r="R14" s="321" t="s">
        <v>792</v>
      </c>
      <c r="S14" s="321" t="s">
        <v>792</v>
      </c>
      <c r="T14" s="1123"/>
    </row>
    <row r="15" spans="1:20" x14ac:dyDescent="0.2">
      <c r="A15" s="310">
        <v>0.51041666666666663</v>
      </c>
      <c r="B15" s="302" t="s">
        <v>801</v>
      </c>
      <c r="C15" s="1110"/>
      <c r="D15" s="1110"/>
      <c r="E15" s="1110"/>
      <c r="F15" s="1135"/>
      <c r="H15" s="310">
        <v>0.38541666666666669</v>
      </c>
      <c r="I15" s="321" t="s">
        <v>792</v>
      </c>
      <c r="J15" s="302" t="s">
        <v>803</v>
      </c>
      <c r="K15" s="1105" t="s">
        <v>819</v>
      </c>
      <c r="L15" s="302" t="s">
        <v>805</v>
      </c>
      <c r="M15" s="303" t="s">
        <v>804</v>
      </c>
      <c r="O15" s="310">
        <v>0.42708333333333331</v>
      </c>
      <c r="P15" s="325" t="s">
        <v>792</v>
      </c>
      <c r="Q15" s="321" t="s">
        <v>792</v>
      </c>
      <c r="R15" s="321" t="s">
        <v>792</v>
      </c>
      <c r="S15" s="321" t="s">
        <v>792</v>
      </c>
      <c r="T15" s="304" t="s">
        <v>801</v>
      </c>
    </row>
    <row r="16" spans="1:20" x14ac:dyDescent="0.2">
      <c r="A16" s="310">
        <v>0.52083333333333337</v>
      </c>
      <c r="B16" s="315" t="s">
        <v>792</v>
      </c>
      <c r="C16" s="315" t="s">
        <v>792</v>
      </c>
      <c r="D16" s="315" t="s">
        <v>792</v>
      </c>
      <c r="E16" s="315" t="s">
        <v>792</v>
      </c>
      <c r="F16" s="317" t="s">
        <v>792</v>
      </c>
      <c r="H16" s="310">
        <v>0.39583333333333331</v>
      </c>
      <c r="I16" s="321" t="s">
        <v>792</v>
      </c>
      <c r="J16" s="1105" t="s">
        <v>808</v>
      </c>
      <c r="K16" s="1105"/>
      <c r="L16" s="1105" t="s">
        <v>809</v>
      </c>
      <c r="M16" s="1117" t="s">
        <v>814</v>
      </c>
      <c r="O16" s="310">
        <v>0.4375</v>
      </c>
      <c r="P16" s="325" t="s">
        <v>792</v>
      </c>
      <c r="Q16" s="321" t="s">
        <v>792</v>
      </c>
      <c r="R16" s="321" t="s">
        <v>792</v>
      </c>
      <c r="S16" s="321" t="s">
        <v>792</v>
      </c>
      <c r="T16" s="304" t="s">
        <v>801</v>
      </c>
    </row>
    <row r="17" spans="1:20" x14ac:dyDescent="0.2">
      <c r="A17" s="310">
        <v>0.53125</v>
      </c>
      <c r="B17" s="315" t="s">
        <v>792</v>
      </c>
      <c r="C17" s="315" t="s">
        <v>792</v>
      </c>
      <c r="D17" s="315" t="s">
        <v>792</v>
      </c>
      <c r="E17" s="315" t="s">
        <v>792</v>
      </c>
      <c r="F17" s="317" t="s">
        <v>792</v>
      </c>
      <c r="H17" s="310">
        <v>0.40625</v>
      </c>
      <c r="I17" s="321" t="s">
        <v>792</v>
      </c>
      <c r="J17" s="1105"/>
      <c r="K17" s="302" t="s">
        <v>806</v>
      </c>
      <c r="L17" s="1105"/>
      <c r="M17" s="1117"/>
      <c r="O17" s="310">
        <v>0.44791666666666669</v>
      </c>
      <c r="P17" s="325" t="s">
        <v>792</v>
      </c>
      <c r="Q17" s="321" t="s">
        <v>792</v>
      </c>
      <c r="R17" s="321" t="s">
        <v>792</v>
      </c>
      <c r="S17" s="321" t="s">
        <v>792</v>
      </c>
      <c r="T17" s="304" t="s">
        <v>815</v>
      </c>
    </row>
    <row r="18" spans="1:20" x14ac:dyDescent="0.2">
      <c r="A18" s="310"/>
      <c r="B18" s="1098" t="s">
        <v>793</v>
      </c>
      <c r="C18" s="1099"/>
      <c r="D18" s="1099"/>
      <c r="E18" s="1099"/>
      <c r="F18" s="1101"/>
      <c r="H18" s="310">
        <v>0.41666666666666669</v>
      </c>
      <c r="I18" s="1113" t="s">
        <v>800</v>
      </c>
      <c r="J18" s="1137" t="s">
        <v>820</v>
      </c>
      <c r="K18" s="1124" t="s">
        <v>821</v>
      </c>
      <c r="L18" s="1106" t="s">
        <v>822</v>
      </c>
      <c r="M18" s="1117"/>
      <c r="O18" s="310">
        <v>0.45833333333333331</v>
      </c>
      <c r="P18" s="1128" t="s">
        <v>812</v>
      </c>
      <c r="Q18" s="1110" t="s">
        <v>812</v>
      </c>
      <c r="R18" s="1110" t="s">
        <v>812</v>
      </c>
      <c r="S18" s="1110" t="s">
        <v>812</v>
      </c>
      <c r="T18" s="304" t="s">
        <v>824</v>
      </c>
    </row>
    <row r="19" spans="1:20" x14ac:dyDescent="0.2">
      <c r="A19" s="310">
        <v>0.58333333333333337</v>
      </c>
      <c r="B19" s="315" t="s">
        <v>792</v>
      </c>
      <c r="C19" s="315" t="s">
        <v>792</v>
      </c>
      <c r="D19" s="315" t="s">
        <v>792</v>
      </c>
      <c r="E19" s="315" t="s">
        <v>792</v>
      </c>
      <c r="F19" s="317" t="s">
        <v>792</v>
      </c>
      <c r="H19" s="310">
        <v>0.42708333333333331</v>
      </c>
      <c r="I19" s="1113"/>
      <c r="J19" s="1137"/>
      <c r="K19" s="1124"/>
      <c r="L19" s="1106"/>
      <c r="M19" s="1117"/>
      <c r="O19" s="310">
        <v>0.46875</v>
      </c>
      <c r="P19" s="1128"/>
      <c r="Q19" s="1110"/>
      <c r="R19" s="1110"/>
      <c r="S19" s="1110"/>
      <c r="T19" s="304" t="s">
        <v>807</v>
      </c>
    </row>
    <row r="20" spans="1:20" ht="15" customHeight="1" x14ac:dyDescent="0.2">
      <c r="A20" s="310">
        <v>0.59375</v>
      </c>
      <c r="B20" s="315" t="s">
        <v>792</v>
      </c>
      <c r="C20" s="315" t="s">
        <v>792</v>
      </c>
      <c r="D20" s="315" t="s">
        <v>792</v>
      </c>
      <c r="E20" s="315" t="s">
        <v>792</v>
      </c>
      <c r="F20" s="317" t="s">
        <v>792</v>
      </c>
      <c r="H20" s="310">
        <v>0.4375</v>
      </c>
      <c r="I20" s="302" t="s">
        <v>799</v>
      </c>
      <c r="J20" s="1112" t="s">
        <v>809</v>
      </c>
      <c r="K20" s="1112" t="s">
        <v>808</v>
      </c>
      <c r="L20" t="s">
        <v>810</v>
      </c>
      <c r="M20" s="304" t="s">
        <v>810</v>
      </c>
      <c r="O20" s="310">
        <v>0.47916666666666669</v>
      </c>
      <c r="P20" s="1128"/>
      <c r="Q20" s="1110"/>
      <c r="R20" s="1110"/>
      <c r="S20" s="1110"/>
      <c r="T20" s="1131" t="s">
        <v>821</v>
      </c>
    </row>
    <row r="21" spans="1:20" x14ac:dyDescent="0.2">
      <c r="A21" s="310">
        <v>0.60416666666666663</v>
      </c>
      <c r="B21" t="s">
        <v>804</v>
      </c>
      <c r="C21" s="302" t="s">
        <v>801</v>
      </c>
      <c r="D21" s="1109" t="s">
        <v>816</v>
      </c>
      <c r="E21" t="s">
        <v>802</v>
      </c>
      <c r="F21" s="304" t="s">
        <v>807</v>
      </c>
      <c r="H21" s="310">
        <v>0.44791666666666669</v>
      </c>
      <c r="I21" s="302" t="s">
        <v>804</v>
      </c>
      <c r="J21" s="1112"/>
      <c r="K21" s="1112"/>
      <c r="L21" t="s">
        <v>799</v>
      </c>
      <c r="M21" s="304" t="s">
        <v>797</v>
      </c>
      <c r="O21" s="310">
        <v>0.48958333333333331</v>
      </c>
      <c r="P21" s="1129"/>
      <c r="Q21" s="1111"/>
      <c r="R21" s="1111"/>
      <c r="S21" s="1111"/>
      <c r="T21" s="1132"/>
    </row>
    <row r="22" spans="1:20" x14ac:dyDescent="0.2">
      <c r="A22" s="310">
        <v>0.61458333333333337</v>
      </c>
      <c r="B22" t="s">
        <v>807</v>
      </c>
      <c r="C22" t="s">
        <v>806</v>
      </c>
      <c r="D22" s="1109"/>
      <c r="E22" t="s">
        <v>802</v>
      </c>
      <c r="F22" s="304" t="s">
        <v>802</v>
      </c>
      <c r="H22" s="310">
        <v>0.45833333333333331</v>
      </c>
      <c r="I22" s="1113" t="s">
        <v>819</v>
      </c>
      <c r="J22" s="1110" t="s">
        <v>812</v>
      </c>
      <c r="K22" s="1110" t="s">
        <v>812</v>
      </c>
      <c r="L22" s="1110" t="s">
        <v>812</v>
      </c>
      <c r="M22" s="1135" t="s">
        <v>812</v>
      </c>
      <c r="O22" s="312"/>
      <c r="P22" s="1098" t="s">
        <v>793</v>
      </c>
      <c r="Q22" s="1099"/>
      <c r="R22" s="1099"/>
      <c r="S22" s="1100"/>
      <c r="T22" s="1101"/>
    </row>
    <row r="23" spans="1:20" x14ac:dyDescent="0.2">
      <c r="A23" s="310">
        <v>0.625</v>
      </c>
      <c r="B23" t="s">
        <v>798</v>
      </c>
      <c r="C23" s="1119" t="s">
        <v>811</v>
      </c>
      <c r="D23" s="1109"/>
      <c r="E23" s="1112" t="s">
        <v>809</v>
      </c>
      <c r="F23" s="304" t="s">
        <v>805</v>
      </c>
      <c r="H23" s="310">
        <v>0.46875</v>
      </c>
      <c r="I23" s="1113"/>
      <c r="J23" s="1110"/>
      <c r="K23" s="1110"/>
      <c r="L23" s="1110"/>
      <c r="M23" s="1135"/>
      <c r="O23" s="310">
        <v>0.54166666666666663</v>
      </c>
      <c r="P23" s="326" t="s">
        <v>792</v>
      </c>
      <c r="Q23" s="321" t="s">
        <v>792</v>
      </c>
      <c r="R23" s="1102" t="s">
        <v>823</v>
      </c>
      <c r="S23" s="327" t="s">
        <v>792</v>
      </c>
      <c r="T23" s="316" t="s">
        <v>792</v>
      </c>
    </row>
    <row r="24" spans="1:20" x14ac:dyDescent="0.2">
      <c r="A24" s="310">
        <v>0.63541666666666663</v>
      </c>
      <c r="B24" t="s">
        <v>799</v>
      </c>
      <c r="C24" s="1119"/>
      <c r="D24" s="1109"/>
      <c r="E24" s="1112"/>
      <c r="F24" s="304" t="s">
        <v>810</v>
      </c>
      <c r="H24" s="310">
        <v>0.47916666666666669</v>
      </c>
      <c r="I24" s="302" t="s">
        <v>807</v>
      </c>
      <c r="J24" s="1110"/>
      <c r="K24" s="1110"/>
      <c r="L24" s="1110"/>
      <c r="M24" s="1135"/>
      <c r="O24" s="310">
        <v>0.55208333333333337</v>
      </c>
      <c r="P24" s="326" t="s">
        <v>792</v>
      </c>
      <c r="Q24" s="321" t="s">
        <v>792</v>
      </c>
      <c r="R24" s="1103"/>
      <c r="S24" s="328" t="s">
        <v>792</v>
      </c>
      <c r="T24" s="316" t="s">
        <v>792</v>
      </c>
    </row>
    <row r="25" spans="1:20" ht="14.25" customHeight="1" x14ac:dyDescent="0.2">
      <c r="A25" s="310">
        <v>0.64583333333333337</v>
      </c>
      <c r="B25" t="s">
        <v>801</v>
      </c>
      <c r="C25" s="1119"/>
      <c r="D25" t="s">
        <v>802</v>
      </c>
      <c r="E25" t="s">
        <v>801</v>
      </c>
      <c r="F25" s="303" t="s">
        <v>798</v>
      </c>
      <c r="H25" s="310">
        <v>0.48958333333333331</v>
      </c>
      <c r="I25" t="s">
        <v>799</v>
      </c>
      <c r="J25" s="1111"/>
      <c r="K25" s="1111"/>
      <c r="L25" s="1111"/>
      <c r="M25" s="1136"/>
      <c r="O25" s="310">
        <v>0.5625</v>
      </c>
      <c r="P25" s="326" t="s">
        <v>792</v>
      </c>
      <c r="Q25" s="321" t="s">
        <v>792</v>
      </c>
      <c r="R25" s="1103"/>
      <c r="S25" s="328" t="s">
        <v>792</v>
      </c>
      <c r="T25" s="316" t="s">
        <v>792</v>
      </c>
    </row>
    <row r="26" spans="1:20" x14ac:dyDescent="0.2">
      <c r="A26" s="310">
        <v>0.65625</v>
      </c>
      <c r="B26" s="302" t="s">
        <v>801</v>
      </c>
      <c r="C26" s="1119"/>
      <c r="D26" s="302" t="s">
        <v>802</v>
      </c>
      <c r="E26" s="302" t="s">
        <v>818</v>
      </c>
      <c r="F26" s="303" t="s">
        <v>803</v>
      </c>
      <c r="H26" s="312"/>
      <c r="I26" s="1125" t="s">
        <v>793</v>
      </c>
      <c r="J26" s="1126"/>
      <c r="K26" s="1126"/>
      <c r="L26" s="1126"/>
      <c r="M26" s="1127"/>
      <c r="O26" s="310">
        <v>0.57291666666666663</v>
      </c>
      <c r="P26" s="326" t="s">
        <v>792</v>
      </c>
      <c r="Q26" s="321" t="s">
        <v>792</v>
      </c>
      <c r="R26" s="1103"/>
      <c r="S26" s="328" t="s">
        <v>792</v>
      </c>
      <c r="T26" s="316" t="s">
        <v>792</v>
      </c>
    </row>
    <row r="27" spans="1:20" x14ac:dyDescent="0.2">
      <c r="A27" s="310">
        <v>0.66666666666666663</v>
      </c>
      <c r="B27" s="302" t="s">
        <v>805</v>
      </c>
      <c r="C27" s="1119"/>
      <c r="D27" s="1120" t="s">
        <v>813</v>
      </c>
      <c r="E27" s="1121" t="s">
        <v>812</v>
      </c>
      <c r="F27" s="1122" t="s">
        <v>812</v>
      </c>
      <c r="H27" s="310">
        <v>0.54166666666666663</v>
      </c>
      <c r="I27" t="s">
        <v>798</v>
      </c>
      <c r="J27" s="1107" t="s">
        <v>813</v>
      </c>
      <c r="K27" t="s">
        <v>803</v>
      </c>
      <c r="L27" t="s">
        <v>799</v>
      </c>
      <c r="M27" s="304" t="s">
        <v>803</v>
      </c>
      <c r="O27" s="310">
        <v>0.58333333333333337</v>
      </c>
      <c r="P27" s="314" t="s">
        <v>805</v>
      </c>
      <c r="Q27" s="302" t="s">
        <v>807</v>
      </c>
      <c r="R27" s="1103"/>
      <c r="S27" s="1119" t="s">
        <v>811</v>
      </c>
      <c r="T27" s="304" t="s">
        <v>801</v>
      </c>
    </row>
    <row r="28" spans="1:20" x14ac:dyDescent="0.2">
      <c r="A28" s="310">
        <v>0.67708333333333337</v>
      </c>
      <c r="B28" s="1113" t="s">
        <v>809</v>
      </c>
      <c r="C28" s="1119"/>
      <c r="D28" s="1120"/>
      <c r="E28" s="1121"/>
      <c r="F28" s="1122"/>
      <c r="H28" s="310">
        <v>0.55208333333333337</v>
      </c>
      <c r="I28" t="s">
        <v>799</v>
      </c>
      <c r="J28" s="1108"/>
      <c r="K28" t="s">
        <v>807</v>
      </c>
      <c r="L28" t="s">
        <v>805</v>
      </c>
      <c r="M28" s="304" t="s">
        <v>806</v>
      </c>
      <c r="O28" s="310">
        <v>0.59375</v>
      </c>
      <c r="P28" s="314" t="s">
        <v>802</v>
      </c>
      <c r="Q28" t="s">
        <v>824</v>
      </c>
      <c r="R28" t="s">
        <v>802</v>
      </c>
      <c r="S28" s="1119"/>
      <c r="T28" s="304" t="s">
        <v>807</v>
      </c>
    </row>
    <row r="29" spans="1:20" x14ac:dyDescent="0.2">
      <c r="A29" s="310">
        <v>0.6875</v>
      </c>
      <c r="B29" s="1113"/>
      <c r="C29" s="1119"/>
      <c r="D29" s="1120"/>
      <c r="E29" s="1121"/>
      <c r="F29" s="1122"/>
      <c r="H29" s="310">
        <v>0.5625</v>
      </c>
      <c r="I29" t="s">
        <v>805</v>
      </c>
      <c r="J29" s="1108"/>
      <c r="K29" t="s">
        <v>797</v>
      </c>
      <c r="L29" s="1118" t="s">
        <v>826</v>
      </c>
      <c r="M29" s="1114" t="s">
        <v>800</v>
      </c>
      <c r="O29" s="310">
        <v>0.60416666666666663</v>
      </c>
      <c r="P29" s="314" t="s">
        <v>824</v>
      </c>
      <c r="Q29" t="s">
        <v>801</v>
      </c>
      <c r="R29" s="1109" t="s">
        <v>816</v>
      </c>
      <c r="S29" s="1119"/>
      <c r="T29" s="304" t="s">
        <v>824</v>
      </c>
    </row>
    <row r="30" spans="1:20" x14ac:dyDescent="0.2">
      <c r="A30" s="310">
        <v>0.69791666666666663</v>
      </c>
      <c r="B30" s="302" t="s">
        <v>802</v>
      </c>
      <c r="C30" s="1119"/>
      <c r="D30" s="1120"/>
      <c r="E30" s="1121"/>
      <c r="F30" s="1122"/>
      <c r="H30" s="310">
        <v>0.57291666666666663</v>
      </c>
      <c r="I30" s="1104" t="s">
        <v>809</v>
      </c>
      <c r="J30" s="1108" t="s">
        <v>813</v>
      </c>
      <c r="K30" s="1112" t="s">
        <v>819</v>
      </c>
      <c r="L30" s="1118"/>
      <c r="M30" s="1114"/>
      <c r="O30" s="310">
        <v>0.61458333333333337</v>
      </c>
      <c r="P30" s="314" t="s">
        <v>801</v>
      </c>
      <c r="Q30" t="s">
        <v>801</v>
      </c>
      <c r="R30" s="1109"/>
      <c r="S30" s="1119"/>
      <c r="T30" s="304" t="s">
        <v>802</v>
      </c>
    </row>
    <row r="31" spans="1:20" x14ac:dyDescent="0.2">
      <c r="A31" s="310">
        <v>0.70833333333333337</v>
      </c>
      <c r="B31" s="315" t="s">
        <v>792</v>
      </c>
      <c r="C31" s="315" t="s">
        <v>792</v>
      </c>
      <c r="D31" s="315" t="s">
        <v>792</v>
      </c>
      <c r="E31" s="315" t="s">
        <v>792</v>
      </c>
      <c r="F31" s="316" t="s">
        <v>792</v>
      </c>
      <c r="H31" s="310">
        <v>0.58333333333333337</v>
      </c>
      <c r="I31" s="1104"/>
      <c r="J31" s="1108"/>
      <c r="K31" s="1112"/>
      <c r="L31" s="1118"/>
      <c r="M31" s="1133" t="s">
        <v>811</v>
      </c>
      <c r="O31" s="310">
        <v>0.625</v>
      </c>
      <c r="P31" s="1130" t="s">
        <v>820</v>
      </c>
      <c r="Q31" t="s">
        <v>825</v>
      </c>
      <c r="R31" s="1109"/>
      <c r="S31" s="1119"/>
      <c r="T31" s="304" t="s">
        <v>801</v>
      </c>
    </row>
    <row r="32" spans="1:20" x14ac:dyDescent="0.2">
      <c r="A32" s="310">
        <v>0.71875</v>
      </c>
      <c r="B32" s="315" t="s">
        <v>792</v>
      </c>
      <c r="C32" s="315" t="s">
        <v>792</v>
      </c>
      <c r="D32" s="315" t="s">
        <v>792</v>
      </c>
      <c r="E32" s="315" t="s">
        <v>792</v>
      </c>
      <c r="F32" s="316" t="s">
        <v>792</v>
      </c>
      <c r="H32" s="310">
        <v>0.59375</v>
      </c>
      <c r="I32" t="s">
        <v>797</v>
      </c>
      <c r="J32" s="1108"/>
      <c r="K32" t="s">
        <v>798</v>
      </c>
      <c r="L32" s="1118"/>
      <c r="M32" s="1133"/>
      <c r="O32" s="310">
        <v>0.63541666666666663</v>
      </c>
      <c r="P32" s="1130"/>
      <c r="Q32" t="s">
        <v>824</v>
      </c>
      <c r="R32" s="1109"/>
      <c r="S32" s="1119"/>
      <c r="T32" s="304" t="s">
        <v>801</v>
      </c>
    </row>
    <row r="33" spans="1:20" x14ac:dyDescent="0.2">
      <c r="A33" s="310">
        <v>0.72916666666666663</v>
      </c>
      <c r="B33" s="315" t="s">
        <v>792</v>
      </c>
      <c r="C33" s="315" t="s">
        <v>792</v>
      </c>
      <c r="D33" s="315" t="s">
        <v>792</v>
      </c>
      <c r="E33" s="315" t="s">
        <v>792</v>
      </c>
      <c r="F33" s="332" t="s">
        <v>799</v>
      </c>
      <c r="H33" s="310">
        <v>0.60416666666666663</v>
      </c>
      <c r="I33" t="s">
        <v>803</v>
      </c>
      <c r="J33" s="1112" t="s">
        <v>808</v>
      </c>
      <c r="K33" s="1109" t="s">
        <v>816</v>
      </c>
      <c r="L33" s="301" t="s">
        <v>810</v>
      </c>
      <c r="M33" s="1133"/>
      <c r="O33" s="310">
        <v>0.64583333333333337</v>
      </c>
      <c r="P33" s="314" t="s">
        <v>802</v>
      </c>
      <c r="Q33" t="s">
        <v>815</v>
      </c>
      <c r="R33" t="s">
        <v>801</v>
      </c>
      <c r="S33" s="1119"/>
      <c r="T33" s="304" t="s">
        <v>802</v>
      </c>
    </row>
    <row r="34" spans="1:20" x14ac:dyDescent="0.2">
      <c r="A34" s="310">
        <v>0.73958333333333337</v>
      </c>
      <c r="B34" s="315" t="s">
        <v>792</v>
      </c>
      <c r="C34" s="315" t="s">
        <v>792</v>
      </c>
      <c r="D34" s="315" t="s">
        <v>792</v>
      </c>
      <c r="E34" s="315" t="s">
        <v>792</v>
      </c>
      <c r="F34" s="317" t="s">
        <v>792</v>
      </c>
      <c r="H34" s="310">
        <v>0.61458333333333337</v>
      </c>
      <c r="I34" s="1104" t="s">
        <v>808</v>
      </c>
      <c r="J34" s="1112"/>
      <c r="K34" s="1109"/>
      <c r="L34" s="1112" t="s">
        <v>808</v>
      </c>
      <c r="M34" s="1133"/>
      <c r="O34" s="310">
        <v>0.65625</v>
      </c>
      <c r="P34" s="314" t="s">
        <v>801</v>
      </c>
      <c r="Q34" t="s">
        <v>805</v>
      </c>
      <c r="R34" t="s">
        <v>815</v>
      </c>
      <c r="S34" s="1119"/>
      <c r="T34" s="304" t="s">
        <v>801</v>
      </c>
    </row>
    <row r="35" spans="1:20" x14ac:dyDescent="0.2">
      <c r="A35" s="310">
        <v>0.75</v>
      </c>
      <c r="B35" s="315" t="s">
        <v>792</v>
      </c>
      <c r="C35" t="s">
        <v>797</v>
      </c>
      <c r="D35" s="315" t="s">
        <v>792</v>
      </c>
      <c r="E35" s="315" t="s">
        <v>792</v>
      </c>
      <c r="F35" s="317" t="s">
        <v>792</v>
      </c>
      <c r="H35" s="310">
        <v>0.625</v>
      </c>
      <c r="I35" s="1104"/>
      <c r="J35" s="1115" t="s">
        <v>814</v>
      </c>
      <c r="K35" s="1109"/>
      <c r="L35" s="1112"/>
      <c r="M35" s="1133"/>
      <c r="O35" s="310">
        <v>0.66666666666666663</v>
      </c>
      <c r="P35" s="326" t="s">
        <v>792</v>
      </c>
      <c r="Q35" s="315" t="s">
        <v>792</v>
      </c>
      <c r="R35" s="315" t="s">
        <v>792</v>
      </c>
      <c r="S35" s="328" t="s">
        <v>792</v>
      </c>
      <c r="T35" s="316" t="s">
        <v>792</v>
      </c>
    </row>
    <row r="36" spans="1:20" x14ac:dyDescent="0.2">
      <c r="A36" s="310">
        <v>0.76041666666666663</v>
      </c>
      <c r="B36" s="315" t="s">
        <v>792</v>
      </c>
      <c r="C36" s="315" t="s">
        <v>792</v>
      </c>
      <c r="D36" s="315" t="s">
        <v>792</v>
      </c>
      <c r="E36" s="315" t="s">
        <v>792</v>
      </c>
      <c r="F36" s="317" t="s">
        <v>792</v>
      </c>
      <c r="H36" s="310">
        <v>0.63541666666666663</v>
      </c>
      <c r="I36" s="1104" t="s">
        <v>819</v>
      </c>
      <c r="J36" s="1115"/>
      <c r="K36" s="1109"/>
      <c r="L36" s="1112" t="s">
        <v>819</v>
      </c>
      <c r="M36" s="1133"/>
      <c r="O36" s="310">
        <v>0.67708333333333337</v>
      </c>
      <c r="P36" s="326" t="s">
        <v>792</v>
      </c>
      <c r="Q36" s="315" t="s">
        <v>792</v>
      </c>
      <c r="R36" s="315" t="s">
        <v>792</v>
      </c>
      <c r="S36" s="328" t="s">
        <v>792</v>
      </c>
      <c r="T36" s="316" t="s">
        <v>792</v>
      </c>
    </row>
    <row r="37" spans="1:20" x14ac:dyDescent="0.2">
      <c r="A37" s="310">
        <v>0.77083333333333337</v>
      </c>
      <c r="B37" s="315" t="s">
        <v>792</v>
      </c>
      <c r="C37" s="315" t="s">
        <v>792</v>
      </c>
      <c r="D37" t="s">
        <v>803</v>
      </c>
      <c r="E37" s="315" t="s">
        <v>792</v>
      </c>
      <c r="F37" s="332" t="s">
        <v>802</v>
      </c>
      <c r="H37" s="310">
        <v>0.64583333333333337</v>
      </c>
      <c r="I37" s="1104"/>
      <c r="J37" s="1115"/>
      <c r="K37" t="s">
        <v>810</v>
      </c>
      <c r="L37" s="1112"/>
      <c r="M37" s="1133"/>
      <c r="O37" s="310">
        <v>0.6875</v>
      </c>
      <c r="P37" s="326" t="s">
        <v>792</v>
      </c>
      <c r="Q37" s="315" t="s">
        <v>792</v>
      </c>
      <c r="R37" s="315" t="s">
        <v>792</v>
      </c>
      <c r="S37" s="328" t="s">
        <v>792</v>
      </c>
      <c r="T37" s="316" t="s">
        <v>792</v>
      </c>
    </row>
    <row r="38" spans="1:20" x14ac:dyDescent="0.2">
      <c r="A38" s="311">
        <v>0.78125</v>
      </c>
      <c r="B38" s="318" t="s">
        <v>792</v>
      </c>
      <c r="C38" s="318" t="s">
        <v>792</v>
      </c>
      <c r="D38" s="318" t="s">
        <v>792</v>
      </c>
      <c r="E38" s="305" t="s">
        <v>797</v>
      </c>
      <c r="F38" s="319" t="s">
        <v>792</v>
      </c>
      <c r="H38" s="311">
        <v>0.65625</v>
      </c>
      <c r="I38" s="305" t="s">
        <v>799</v>
      </c>
      <c r="J38" s="1116"/>
      <c r="K38" s="305" t="s">
        <v>799</v>
      </c>
      <c r="L38" s="313" t="s">
        <v>803</v>
      </c>
      <c r="M38" s="1134"/>
      <c r="O38" s="311">
        <v>0.69791666666666663</v>
      </c>
      <c r="P38" s="329" t="s">
        <v>792</v>
      </c>
      <c r="Q38" s="318" t="s">
        <v>792</v>
      </c>
      <c r="R38" s="318" t="s">
        <v>792</v>
      </c>
      <c r="S38" s="330" t="s">
        <v>792</v>
      </c>
      <c r="T38" s="331" t="s">
        <v>792</v>
      </c>
    </row>
    <row r="39" spans="1:20" x14ac:dyDescent="0.2">
      <c r="A39" s="294"/>
      <c r="F39" s="301"/>
      <c r="H39" s="294"/>
      <c r="L39" s="301"/>
      <c r="S39" s="301"/>
    </row>
    <row r="40" spans="1:20" x14ac:dyDescent="0.2">
      <c r="A40" s="294"/>
      <c r="F40" s="301"/>
      <c r="H40" s="294"/>
      <c r="L40" s="301"/>
      <c r="S40" s="301"/>
    </row>
    <row r="41" spans="1:20" x14ac:dyDescent="0.2">
      <c r="I41" t="s">
        <v>817</v>
      </c>
    </row>
    <row r="49" spans="1:1" x14ac:dyDescent="0.2">
      <c r="A49" s="294"/>
    </row>
    <row r="50" spans="1:1" x14ac:dyDescent="0.2">
      <c r="A50" s="294"/>
    </row>
    <row r="51" spans="1:1" x14ac:dyDescent="0.2">
      <c r="A51" s="294"/>
    </row>
    <row r="52" spans="1:1" x14ac:dyDescent="0.2">
      <c r="A52" s="294"/>
    </row>
    <row r="53" spans="1:1" x14ac:dyDescent="0.2">
      <c r="A53" s="294"/>
    </row>
    <row r="54" spans="1:1" x14ac:dyDescent="0.2">
      <c r="A54" s="294"/>
    </row>
    <row r="55" spans="1:1" x14ac:dyDescent="0.2">
      <c r="A55" s="294"/>
    </row>
    <row r="56" spans="1:1" x14ac:dyDescent="0.2">
      <c r="A56" s="294"/>
    </row>
    <row r="57" spans="1:1" x14ac:dyDescent="0.2">
      <c r="A57" s="294"/>
    </row>
    <row r="58" spans="1:1" x14ac:dyDescent="0.2">
      <c r="A58" s="294"/>
    </row>
    <row r="59" spans="1:1" x14ac:dyDescent="0.2">
      <c r="A59" s="294"/>
    </row>
    <row r="60" spans="1:1" x14ac:dyDescent="0.2">
      <c r="A60" s="294"/>
    </row>
    <row r="61" spans="1:1" x14ac:dyDescent="0.2">
      <c r="A61" s="294"/>
    </row>
    <row r="62" spans="1:1" x14ac:dyDescent="0.2">
      <c r="A62" s="294"/>
    </row>
    <row r="63" spans="1:1" x14ac:dyDescent="0.2">
      <c r="A63" s="294"/>
    </row>
    <row r="64" spans="1:1" x14ac:dyDescent="0.2">
      <c r="A64" s="294"/>
    </row>
    <row r="65" spans="1:1" x14ac:dyDescent="0.2">
      <c r="A65" s="294"/>
    </row>
    <row r="66" spans="1:1" x14ac:dyDescent="0.2">
      <c r="A66" s="294"/>
    </row>
    <row r="67" spans="1:1" x14ac:dyDescent="0.2">
      <c r="A67" s="294"/>
    </row>
    <row r="69" spans="1:1" x14ac:dyDescent="0.2">
      <c r="A69" s="294"/>
    </row>
    <row r="70" spans="1:1" x14ac:dyDescent="0.2">
      <c r="A70" s="294"/>
    </row>
    <row r="71" spans="1:1" x14ac:dyDescent="0.2">
      <c r="A71" s="294"/>
    </row>
    <row r="72" spans="1:1" x14ac:dyDescent="0.2">
      <c r="A72" s="294"/>
    </row>
    <row r="73" spans="1:1" x14ac:dyDescent="0.2">
      <c r="A73" s="294"/>
    </row>
    <row r="74" spans="1:1" x14ac:dyDescent="0.2">
      <c r="A74" s="294"/>
    </row>
    <row r="75" spans="1:1" x14ac:dyDescent="0.2">
      <c r="A75" s="294"/>
    </row>
    <row r="76" spans="1:1" x14ac:dyDescent="0.2">
      <c r="A76" s="294"/>
    </row>
    <row r="77" spans="1:1" x14ac:dyDescent="0.2">
      <c r="A77" s="294"/>
    </row>
    <row r="78" spans="1:1" x14ac:dyDescent="0.2">
      <c r="A78" s="294"/>
    </row>
    <row r="79" spans="1:1" x14ac:dyDescent="0.2">
      <c r="A79" s="294"/>
    </row>
    <row r="80" spans="1:1" x14ac:dyDescent="0.2">
      <c r="A80" s="294"/>
    </row>
    <row r="81" spans="1:1" x14ac:dyDescent="0.2">
      <c r="A81" s="294"/>
    </row>
    <row r="82" spans="1:1" x14ac:dyDescent="0.2">
      <c r="A82" s="294"/>
    </row>
    <row r="83" spans="1:1" x14ac:dyDescent="0.2">
      <c r="A83" s="294"/>
    </row>
  </sheetData>
  <mergeCells count="60">
    <mergeCell ref="A4:F4"/>
    <mergeCell ref="H4:M4"/>
    <mergeCell ref="O4:T4"/>
    <mergeCell ref="B10:B11"/>
    <mergeCell ref="J16:J17"/>
    <mergeCell ref="C10:C13"/>
    <mergeCell ref="D21:D24"/>
    <mergeCell ref="F14:F15"/>
    <mergeCell ref="F11:F12"/>
    <mergeCell ref="J18:J19"/>
    <mergeCell ref="B18:F18"/>
    <mergeCell ref="E23:E24"/>
    <mergeCell ref="J20:J21"/>
    <mergeCell ref="E27:E30"/>
    <mergeCell ref="F27:F30"/>
    <mergeCell ref="R18:R21"/>
    <mergeCell ref="T10:T14"/>
    <mergeCell ref="E14:E15"/>
    <mergeCell ref="K18:K19"/>
    <mergeCell ref="I26:M26"/>
    <mergeCell ref="P18:P21"/>
    <mergeCell ref="Q18:Q21"/>
    <mergeCell ref="S18:S21"/>
    <mergeCell ref="S27:S34"/>
    <mergeCell ref="P31:P32"/>
    <mergeCell ref="T20:T21"/>
    <mergeCell ref="R29:R32"/>
    <mergeCell ref="M31:M38"/>
    <mergeCell ref="M22:M25"/>
    <mergeCell ref="B28:B29"/>
    <mergeCell ref="B13:B14"/>
    <mergeCell ref="I18:I19"/>
    <mergeCell ref="M29:M30"/>
    <mergeCell ref="J35:J38"/>
    <mergeCell ref="M16:M19"/>
    <mergeCell ref="L29:L32"/>
    <mergeCell ref="I22:I23"/>
    <mergeCell ref="K15:K16"/>
    <mergeCell ref="I36:I37"/>
    <mergeCell ref="K30:K31"/>
    <mergeCell ref="L36:L37"/>
    <mergeCell ref="C23:C30"/>
    <mergeCell ref="C14:C15"/>
    <mergeCell ref="D14:D15"/>
    <mergeCell ref="D27:D30"/>
    <mergeCell ref="P22:T22"/>
    <mergeCell ref="R23:R27"/>
    <mergeCell ref="I34:I35"/>
    <mergeCell ref="I30:I31"/>
    <mergeCell ref="L16:L17"/>
    <mergeCell ref="L18:L19"/>
    <mergeCell ref="J27:J29"/>
    <mergeCell ref="J30:J32"/>
    <mergeCell ref="K33:K36"/>
    <mergeCell ref="J22:J25"/>
    <mergeCell ref="K22:K25"/>
    <mergeCell ref="L22:L25"/>
    <mergeCell ref="J33:J34"/>
    <mergeCell ref="K20:K21"/>
    <mergeCell ref="L34:L35"/>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18</vt:i4>
      </vt:variant>
      <vt:variant>
        <vt:lpstr>Intervalos Nomeados</vt:lpstr>
      </vt:variant>
      <vt:variant>
        <vt:i4>5</vt:i4>
      </vt:variant>
    </vt:vector>
  </HeadingPairs>
  <TitlesOfParts>
    <vt:vector size="23" baseType="lpstr">
      <vt:lpstr>TUTORIAL</vt:lpstr>
      <vt:lpstr>EQUIPE</vt:lpstr>
      <vt:lpstr>CADASTRO</vt:lpstr>
      <vt:lpstr> POP. ALVO</vt:lpstr>
      <vt:lpstr>S. MENTAL</vt:lpstr>
      <vt:lpstr>CH Equipe</vt:lpstr>
      <vt:lpstr>AGENDA</vt:lpstr>
      <vt:lpstr>Escala</vt:lpstr>
      <vt:lpstr>Eq Amarela</vt:lpstr>
      <vt:lpstr>GESTANTE</vt:lpstr>
      <vt:lpstr>CRIANÇA</vt:lpstr>
      <vt:lpstr>DIABÉTICO</vt:lpstr>
      <vt:lpstr>HIPERTENSO</vt:lpstr>
      <vt:lpstr>IDOSO</vt:lpstr>
      <vt:lpstr>MULHER</vt:lpstr>
      <vt:lpstr>PREVENÇÃO</vt:lpstr>
      <vt:lpstr>AAE</vt:lpstr>
      <vt:lpstr>Ap.Diag.</vt:lpstr>
      <vt:lpstr>AAE!Area_de_impressao</vt:lpstr>
      <vt:lpstr>'CH Equipe'!Area_de_impressao</vt:lpstr>
      <vt:lpstr>AAE!Titulos_de_impressao</vt:lpstr>
      <vt:lpstr>Ap.Diag.!Titulos_de_impressao</vt:lpstr>
      <vt:lpstr>'CH Equipe'!Titulos_de_impressao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sonda</dc:creator>
  <cp:lastModifiedBy>Evelyn Lima de Souza</cp:lastModifiedBy>
  <cp:lastPrinted>2015-11-19T15:55:44Z</cp:lastPrinted>
  <dcterms:created xsi:type="dcterms:W3CDTF">2012-03-05T21:47:14Z</dcterms:created>
  <dcterms:modified xsi:type="dcterms:W3CDTF">2023-08-15T13:29:20Z</dcterms:modified>
</cp:coreProperties>
</file>